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022\TORITAMA\PROJETOS\NOVOS\PROJ_PAVIMENTAÇÕES DIVERSAS\1º LOTE\PROJETO_Completo 1º LOTE (Pavimentação-2022)\"/>
    </mc:Choice>
  </mc:AlternateContent>
  <xr:revisionPtr revIDLastSave="0" documentId="13_ncr:1_{381F58DB-A278-4F84-A8BB-99D80AC73A9B}" xr6:coauthVersionLast="47" xr6:coauthVersionMax="47" xr10:uidLastSave="{00000000-0000-0000-0000-000000000000}"/>
  <bookViews>
    <workbookView xWindow="-120" yWindow="-120" windowWidth="20730" windowHeight="11040" firstSheet="4" activeTab="6" xr2:uid="{A02EE63B-56EB-4BDA-A230-62D38C84C28E}"/>
  </bookViews>
  <sheets>
    <sheet name="A-1_Memória de Cálculo" sheetId="1" r:id="rId1"/>
    <sheet name="A-2_BDI-Não Desonerado" sheetId="3" r:id="rId2"/>
    <sheet name="A-3_Composições Própria" sheetId="5" r:id="rId3"/>
    <sheet name="A-4_Planilha Básica de Orçament" sheetId="9" r:id="rId4"/>
    <sheet name="A-5_Cronograma Fis.Fin." sheetId="8" r:id="rId5"/>
    <sheet name="A-6_Encargos Sociais" sheetId="10" r:id="rId6"/>
    <sheet name="A-7_Itens de Relevância" sheetId="11" r:id="rId7"/>
    <sheet name="Planilha2" sheetId="2" state="hidden" r:id="rId8"/>
  </sheets>
  <externalReferences>
    <externalReference r:id="rId9"/>
    <externalReference r:id="rId10"/>
  </externalReferences>
  <definedNames>
    <definedName name="_xlnm.Print_Area" localSheetId="0">'A-1_Memória de Cálculo'!$A$1:$L$482</definedName>
    <definedName name="_xlnm.Print_Area" localSheetId="1">'A-2_BDI-Não Desonerado'!$J$9:$S$47</definedName>
    <definedName name="_xlnm.Print_Area" localSheetId="2">'A-3_Composições Própria'!$A$1:$G$81</definedName>
    <definedName name="_xlnm.Print_Area" localSheetId="3">'A-4_Planilha Básica de Orçament'!$A$1:$I$274</definedName>
    <definedName name="_xlnm.Print_Area" localSheetId="4">'A-5_Cronograma Fis.Fin.'!$A$1:$L$152</definedName>
    <definedName name="_xlnm.Print_Area" localSheetId="6">'A-7_Itens de Relevância'!$A$1:$G$33</definedName>
    <definedName name="_xlnm.Print_Area" localSheetId="7">Planilha2!$A$1:$C$70</definedName>
    <definedName name="BDI.Opcao" hidden="1">[1]DADOS!$F$18</definedName>
    <definedName name="BDI.TipoObra" hidden="1">'[2]ANEXO-4_ORÇ-BÁSICO'!$A$138:$A$146</definedName>
    <definedName name="DESONERACAO" hidden="1">IF(OR(Import.Desoneracao="DESONERADO",Import.Desoneracao="SIM"),"SIM","NÃO")</definedName>
    <definedName name="Import.Apelido" hidden="1">'[2]ANEXO-2_BDI NÃO DES.'!$F$16</definedName>
    <definedName name="Import.CR" hidden="1">'[2]ANEXO-2_BDI NÃO DES.'!$F$7</definedName>
    <definedName name="Import.DescLote" hidden="1">'[2]ANEXO-2_BDI NÃO DES.'!$F$17</definedName>
    <definedName name="Import.Desoneracao" hidden="1">OFFSET('[2]ANEXO-2_BDI NÃO DES.'!$G$18,0,-1)</definedName>
    <definedName name="Import.Município" hidden="1">'[2]ANEXO-2_BDI NÃO DES.'!$F$6</definedName>
    <definedName name="Import.Proponente" hidden="1">'[2]ANEXO-2_BDI NÃO DES.'!$F$5</definedName>
    <definedName name="Import.RespOrçamento" hidden="1">'[2]ANEXO-2_BDI NÃO DES.'!$F$22:$F$24</definedName>
    <definedName name="Import.SICONV" hidden="1">'[2]ANEXO-2_BDI NÃO DES.'!$F$8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 i="11" l="1"/>
  <c r="E160" i="8" s="1"/>
  <c r="F162" i="8" s="1"/>
  <c r="G162" i="8" s="1"/>
  <c r="H162" i="8" s="1"/>
  <c r="I162" i="8" s="1"/>
  <c r="J162" i="8" s="1"/>
  <c r="L11" i="9"/>
  <c r="K5" i="11" s="1"/>
  <c r="K6" i="11"/>
  <c r="L12" i="9"/>
  <c r="E155" i="8"/>
  <c r="F157" i="8" s="1"/>
  <c r="G157" i="8" s="1"/>
  <c r="H157" i="8" s="1"/>
  <c r="I157" i="8" s="1"/>
  <c r="J157" i="8" s="1"/>
  <c r="D22" i="11"/>
  <c r="D13" i="11"/>
  <c r="K11" i="11"/>
  <c r="I5" i="11"/>
  <c r="E23" i="11"/>
  <c r="E22" i="11"/>
  <c r="B23" i="11"/>
  <c r="B30" i="11" s="1"/>
  <c r="B22" i="11"/>
  <c r="B29" i="11" s="1"/>
  <c r="B14" i="11"/>
  <c r="B13" i="11"/>
  <c r="G30" i="11"/>
  <c r="A30" i="11"/>
  <c r="G29" i="11"/>
  <c r="A29" i="11"/>
  <c r="L11" i="11"/>
  <c r="D14" i="11" l="1"/>
  <c r="F156" i="8"/>
  <c r="G156" i="8" s="1"/>
  <c r="H156" i="8" s="1"/>
  <c r="I156" i="8" s="1"/>
  <c r="J156" i="8" s="1"/>
  <c r="F161" i="8"/>
  <c r="G161" i="8" s="1"/>
  <c r="H161" i="8" s="1"/>
  <c r="I161" i="8" s="1"/>
  <c r="J161" i="8" s="1"/>
  <c r="E13" i="11"/>
  <c r="F13" i="11"/>
  <c r="G13" i="11" s="1"/>
  <c r="G22" i="11"/>
  <c r="F22" i="11"/>
  <c r="E14" i="11" l="1"/>
  <c r="F14" i="11" s="1"/>
  <c r="D23" i="11"/>
  <c r="G23" i="11" s="1"/>
  <c r="F23" i="11"/>
  <c r="G14" i="11"/>
  <c r="C119" i="8" l="1"/>
  <c r="C117" i="8"/>
  <c r="C115" i="8"/>
  <c r="C112" i="8"/>
  <c r="C110" i="8"/>
  <c r="C108" i="8"/>
  <c r="C106" i="8"/>
  <c r="C104" i="8"/>
  <c r="C102" i="8"/>
  <c r="C100" i="8"/>
  <c r="C98" i="8"/>
  <c r="C96" i="8"/>
  <c r="C94" i="8"/>
  <c r="C92" i="8"/>
  <c r="C90" i="8"/>
  <c r="C88" i="8"/>
  <c r="C85" i="8"/>
  <c r="C83" i="8"/>
  <c r="C81" i="8"/>
  <c r="C79" i="8"/>
  <c r="C77" i="8"/>
  <c r="C75" i="8"/>
  <c r="C72" i="8"/>
  <c r="C70" i="8"/>
  <c r="C68" i="8"/>
  <c r="C66" i="8"/>
  <c r="C64" i="8"/>
  <c r="C62" i="8"/>
  <c r="C60" i="8"/>
  <c r="C58" i="8"/>
  <c r="C56" i="8"/>
  <c r="C54" i="8"/>
  <c r="C51" i="8"/>
  <c r="C49" i="8"/>
  <c r="C47" i="8"/>
  <c r="C45" i="8"/>
  <c r="C42" i="8"/>
  <c r="C40" i="8"/>
  <c r="C38" i="8"/>
  <c r="C35" i="8"/>
  <c r="C32" i="8"/>
  <c r="C30" i="8"/>
  <c r="C28" i="8"/>
  <c r="C26" i="8"/>
  <c r="C24" i="8"/>
  <c r="C22" i="8"/>
  <c r="C20" i="8"/>
  <c r="C18" i="8"/>
  <c r="C14" i="8"/>
  <c r="C12" i="8"/>
  <c r="G35" i="5"/>
  <c r="G36" i="5" s="1"/>
  <c r="E71" i="5"/>
  <c r="G71" i="5" s="1"/>
  <c r="E70" i="5"/>
  <c r="G70" i="5" s="1"/>
  <c r="G69" i="5"/>
  <c r="G66" i="5"/>
  <c r="G65" i="5"/>
  <c r="G62" i="5"/>
  <c r="G61" i="5"/>
  <c r="G53" i="5"/>
  <c r="G54" i="5" s="1"/>
  <c r="G50" i="5"/>
  <c r="G49" i="5"/>
  <c r="G48" i="5"/>
  <c r="G47" i="5"/>
  <c r="G44" i="5"/>
  <c r="G45" i="5" s="1"/>
  <c r="G32" i="5"/>
  <c r="G31" i="5"/>
  <c r="G28" i="5"/>
  <c r="G27" i="5"/>
  <c r="G26" i="5"/>
  <c r="G25" i="5"/>
  <c r="G17" i="5"/>
  <c r="E16" i="5"/>
  <c r="G16" i="5" s="1"/>
  <c r="E15" i="5"/>
  <c r="G15" i="5" s="1"/>
  <c r="G63" i="5" l="1"/>
  <c r="G33" i="5"/>
  <c r="C121" i="8"/>
  <c r="D62" i="8" s="1"/>
  <c r="G29" i="5"/>
  <c r="G37" i="5" s="1"/>
  <c r="G51" i="5"/>
  <c r="G72" i="5"/>
  <c r="G18" i="5"/>
  <c r="G19" i="5" s="1"/>
  <c r="G20" i="5" s="1"/>
  <c r="G13" i="5" s="1"/>
  <c r="G67" i="5"/>
  <c r="G55" i="5" l="1"/>
  <c r="G56" i="5" s="1"/>
  <c r="G42" i="5" s="1"/>
  <c r="G73" i="5"/>
  <c r="D106" i="8"/>
  <c r="D94" i="8"/>
  <c r="D64" i="8"/>
  <c r="D30" i="8"/>
  <c r="D88" i="8"/>
  <c r="D104" i="8"/>
  <c r="D119" i="8"/>
  <c r="D47" i="8"/>
  <c r="D115" i="8"/>
  <c r="D28" i="8"/>
  <c r="D40" i="8"/>
  <c r="D85" i="8"/>
  <c r="D56" i="8"/>
  <c r="D102" i="8"/>
  <c r="D100" i="8"/>
  <c r="D72" i="8"/>
  <c r="D117" i="8"/>
  <c r="D58" i="8"/>
  <c r="D92" i="8"/>
  <c r="D77" i="8"/>
  <c r="D70" i="8"/>
  <c r="D26" i="8"/>
  <c r="D42" i="8"/>
  <c r="D45" i="8"/>
  <c r="D20" i="8"/>
  <c r="D22" i="8"/>
  <c r="D66" i="8"/>
  <c r="D112" i="8"/>
  <c r="D75" i="8"/>
  <c r="D35" i="8"/>
  <c r="D110" i="8"/>
  <c r="D60" i="8"/>
  <c r="D83" i="8"/>
  <c r="D54" i="8"/>
  <c r="D96" i="8"/>
  <c r="D18" i="8"/>
  <c r="D90" i="8"/>
  <c r="D108" i="8"/>
  <c r="D68" i="8"/>
  <c r="D24" i="8"/>
  <c r="D32" i="8"/>
  <c r="D49" i="8"/>
  <c r="D98" i="8"/>
  <c r="D38" i="8"/>
  <c r="D12" i="8"/>
  <c r="D81" i="8"/>
  <c r="D79" i="8"/>
  <c r="D14" i="8"/>
  <c r="D51" i="8"/>
  <c r="G38" i="5"/>
  <c r="G23" i="5" s="1"/>
  <c r="G74" i="5" l="1"/>
  <c r="G59" i="5" s="1"/>
  <c r="D121" i="8"/>
  <c r="K58" i="3" a="1"/>
  <c r="K60" i="3" s="1"/>
  <c r="J53" i="3"/>
  <c r="A53" i="3"/>
  <c r="A54" i="3" s="1"/>
  <c r="C52" i="3"/>
  <c r="C51" i="3"/>
  <c r="C50" i="3"/>
  <c r="C49" i="3"/>
  <c r="J48" i="3"/>
  <c r="C48" i="3"/>
  <c r="C47" i="3"/>
  <c r="J46" i="3"/>
  <c r="C46" i="3"/>
  <c r="N43" i="3"/>
  <c r="A43" i="3"/>
  <c r="A44" i="3" s="1"/>
  <c r="A42" i="3"/>
  <c r="C42" i="3" s="1"/>
  <c r="C41" i="3"/>
  <c r="A41" i="3"/>
  <c r="C40" i="3"/>
  <c r="S35" i="3"/>
  <c r="S37" i="3" s="1"/>
  <c r="A35" i="3"/>
  <c r="A36" i="3" s="1"/>
  <c r="C34" i="3"/>
  <c r="R33" i="3"/>
  <c r="J33" i="3"/>
  <c r="R32" i="3"/>
  <c r="J32" i="3"/>
  <c r="R31" i="3"/>
  <c r="J31" i="3"/>
  <c r="R30" i="3"/>
  <c r="J30" i="3"/>
  <c r="A30" i="3"/>
  <c r="C30" i="3" s="1"/>
  <c r="R29" i="3"/>
  <c r="J29" i="3"/>
  <c r="A29" i="3"/>
  <c r="C29" i="3" s="1"/>
  <c r="C28" i="3"/>
  <c r="A23" i="3"/>
  <c r="A24" i="3" s="1"/>
  <c r="C22" i="3"/>
  <c r="C21" i="3"/>
  <c r="C20" i="3"/>
  <c r="C19" i="3"/>
  <c r="C18" i="3"/>
  <c r="C17" i="3"/>
  <c r="J8" i="3"/>
  <c r="C8" i="3"/>
  <c r="N5" i="3"/>
  <c r="L5" i="3"/>
  <c r="J5" i="3"/>
  <c r="A4" i="3"/>
  <c r="C4" i="3" s="1"/>
  <c r="A3" i="3"/>
  <c r="C3" i="3" s="1"/>
  <c r="C2" i="3"/>
  <c r="O1" i="3"/>
  <c r="P53" i="3" l="1"/>
  <c r="S38" i="3"/>
  <c r="A37" i="3"/>
  <c r="C36" i="3"/>
  <c r="A25" i="3"/>
  <c r="C24" i="3"/>
  <c r="A45" i="3"/>
  <c r="C45" i="3" s="1"/>
  <c r="C44" i="3"/>
  <c r="A55" i="3"/>
  <c r="C54" i="3"/>
  <c r="C35" i="3"/>
  <c r="C23" i="3"/>
  <c r="A31" i="3"/>
  <c r="C43" i="3"/>
  <c r="C53" i="3"/>
  <c r="A5" i="3"/>
  <c r="K58" i="3"/>
  <c r="K59" i="3"/>
  <c r="A6" i="3" l="1"/>
  <c r="C5" i="3"/>
  <c r="A26" i="3"/>
  <c r="C25" i="3"/>
  <c r="C31" i="3"/>
  <c r="A32" i="3"/>
  <c r="C55" i="3"/>
  <c r="A56" i="3"/>
  <c r="C37" i="3"/>
  <c r="A38" i="3"/>
  <c r="A57" i="3" l="1"/>
  <c r="C57" i="3" s="1"/>
  <c r="C56" i="3"/>
  <c r="C6" i="3"/>
  <c r="Y31" i="3" s="1"/>
  <c r="A7" i="3"/>
  <c r="C7" i="3" s="1"/>
  <c r="A33" i="3"/>
  <c r="C33" i="3" s="1"/>
  <c r="C32" i="3"/>
  <c r="C26" i="3"/>
  <c r="A27" i="3"/>
  <c r="C27" i="3" s="1"/>
  <c r="A39" i="3"/>
  <c r="C39" i="3" s="1"/>
  <c r="C38" i="3"/>
  <c r="Y30" i="3"/>
  <c r="Z31" i="3"/>
  <c r="X32" i="3"/>
  <c r="X29" i="3"/>
  <c r="Z29" i="3"/>
  <c r="X30" i="3"/>
  <c r="Y33" i="3"/>
  <c r="Z32" i="3"/>
  <c r="X33" i="3"/>
  <c r="Y29" i="3"/>
  <c r="Z33" i="3"/>
  <c r="Y32" i="3"/>
  <c r="Z30" i="3"/>
  <c r="X37" i="3" l="1"/>
  <c r="X31" i="3"/>
  <c r="Z37" i="3"/>
  <c r="Y37" i="3"/>
  <c r="U37" i="3" l="1"/>
  <c r="K40" i="3" l="1"/>
  <c r="J40" i="3"/>
  <c r="G475" i="1" l="1"/>
  <c r="L481" i="1"/>
  <c r="L479" i="1"/>
  <c r="L477" i="1"/>
  <c r="L475" i="1"/>
  <c r="L472" i="1"/>
  <c r="L470" i="1"/>
  <c r="L468" i="1"/>
  <c r="G466" i="1"/>
  <c r="L466" i="1" s="1"/>
  <c r="G457" i="1"/>
  <c r="L463" i="1"/>
  <c r="L461" i="1"/>
  <c r="L459" i="1"/>
  <c r="L457" i="1"/>
  <c r="F447" i="1"/>
  <c r="L447" i="1" s="1"/>
  <c r="G447" i="1"/>
  <c r="L453" i="1"/>
  <c r="L451" i="1"/>
  <c r="L449" i="1"/>
  <c r="G438" i="1"/>
  <c r="L438" i="1" s="1"/>
  <c r="L444" i="1"/>
  <c r="L442" i="1"/>
  <c r="L440" i="1"/>
  <c r="G429" i="1"/>
  <c r="L429" i="1" s="1"/>
  <c r="L435" i="1"/>
  <c r="L433" i="1"/>
  <c r="L431" i="1"/>
  <c r="G420" i="1"/>
  <c r="L420" i="1" s="1"/>
  <c r="L426" i="1"/>
  <c r="L424" i="1"/>
  <c r="L422" i="1"/>
  <c r="G411" i="1"/>
  <c r="L411" i="1" s="1"/>
  <c r="L417" i="1"/>
  <c r="L415" i="1"/>
  <c r="L413" i="1"/>
  <c r="G402" i="1"/>
  <c r="L402" i="1" s="1"/>
  <c r="L408" i="1"/>
  <c r="L406" i="1"/>
  <c r="L404" i="1"/>
  <c r="G393" i="1"/>
  <c r="L393" i="1" s="1"/>
  <c r="L399" i="1"/>
  <c r="L397" i="1"/>
  <c r="L395" i="1"/>
  <c r="G384" i="1"/>
  <c r="L384" i="1" s="1"/>
  <c r="L390" i="1"/>
  <c r="L388" i="1"/>
  <c r="L386" i="1"/>
  <c r="G375" i="1"/>
  <c r="L381" i="1"/>
  <c r="L379" i="1"/>
  <c r="L377" i="1"/>
  <c r="L375" i="1"/>
  <c r="G366" i="1"/>
  <c r="L366" i="1" s="1"/>
  <c r="L372" i="1"/>
  <c r="L370" i="1"/>
  <c r="L368" i="1"/>
  <c r="G357" i="1"/>
  <c r="L357" i="1" s="1"/>
  <c r="L363" i="1"/>
  <c r="L361" i="1"/>
  <c r="L359" i="1"/>
  <c r="G348" i="1"/>
  <c r="L348" i="1" s="1"/>
  <c r="L354" i="1"/>
  <c r="L352" i="1"/>
  <c r="L350" i="1"/>
  <c r="G339" i="1"/>
  <c r="L339" i="1" s="1"/>
  <c r="L345" i="1"/>
  <c r="L343" i="1"/>
  <c r="L341" i="1"/>
  <c r="G329" i="1"/>
  <c r="L329" i="1" s="1"/>
  <c r="L335" i="1"/>
  <c r="L333" i="1"/>
  <c r="L331" i="1"/>
  <c r="G320" i="1"/>
  <c r="L320" i="1" s="1"/>
  <c r="L326" i="1"/>
  <c r="L324" i="1"/>
  <c r="L322" i="1"/>
  <c r="G311" i="1"/>
  <c r="L311" i="1" s="1"/>
  <c r="L317" i="1"/>
  <c r="L315" i="1"/>
  <c r="L313" i="1"/>
  <c r="G302" i="1"/>
  <c r="L302" i="1" s="1"/>
  <c r="L308" i="1"/>
  <c r="L306" i="1"/>
  <c r="L304" i="1"/>
  <c r="G293" i="1"/>
  <c r="L293" i="1" s="1"/>
  <c r="L299" i="1"/>
  <c r="L297" i="1"/>
  <c r="L295" i="1"/>
  <c r="G290" i="1"/>
  <c r="F290" i="1"/>
  <c r="G289" i="1"/>
  <c r="L289" i="1" s="1"/>
  <c r="F282" i="1"/>
  <c r="G282" i="1"/>
  <c r="G281" i="1"/>
  <c r="L281" i="1" s="1"/>
  <c r="L286" i="1"/>
  <c r="L284" i="1"/>
  <c r="G270" i="1"/>
  <c r="L270" i="1" s="1"/>
  <c r="L276" i="1"/>
  <c r="L274" i="1"/>
  <c r="L272" i="1"/>
  <c r="L267" i="1"/>
  <c r="L265" i="1"/>
  <c r="L263" i="1"/>
  <c r="G261" i="1"/>
  <c r="L261" i="1" s="1"/>
  <c r="G252" i="1"/>
  <c r="L252" i="1" s="1"/>
  <c r="L258" i="1"/>
  <c r="L256" i="1"/>
  <c r="L254" i="1"/>
  <c r="G243" i="1"/>
  <c r="L243" i="1" s="1"/>
  <c r="L249" i="1"/>
  <c r="L247" i="1"/>
  <c r="L245" i="1"/>
  <c r="G234" i="1"/>
  <c r="L234" i="1" s="1"/>
  <c r="G225" i="1"/>
  <c r="L225" i="1" s="1"/>
  <c r="L240" i="1"/>
  <c r="L238" i="1"/>
  <c r="L236" i="1"/>
  <c r="L231" i="1"/>
  <c r="L229" i="1"/>
  <c r="L227" i="1"/>
  <c r="G216" i="1"/>
  <c r="L216" i="1" s="1"/>
  <c r="L222" i="1"/>
  <c r="L220" i="1"/>
  <c r="L218" i="1"/>
  <c r="G207" i="1"/>
  <c r="L207" i="1" s="1"/>
  <c r="L213" i="1"/>
  <c r="L211" i="1"/>
  <c r="L209" i="1"/>
  <c r="G198" i="1"/>
  <c r="L198" i="1" s="1"/>
  <c r="L204" i="1"/>
  <c r="L202" i="1"/>
  <c r="L200" i="1"/>
  <c r="G189" i="1"/>
  <c r="L189" i="1" s="1"/>
  <c r="L195" i="1"/>
  <c r="L193" i="1"/>
  <c r="L191" i="1"/>
  <c r="G179" i="1"/>
  <c r="L179" i="1" s="1"/>
  <c r="L185" i="1"/>
  <c r="L183" i="1"/>
  <c r="L181" i="1"/>
  <c r="G170" i="1"/>
  <c r="L170" i="1" s="1"/>
  <c r="L176" i="1"/>
  <c r="L174" i="1"/>
  <c r="L172" i="1"/>
  <c r="G161" i="1"/>
  <c r="L161" i="1" s="1"/>
  <c r="L167" i="1"/>
  <c r="L165" i="1"/>
  <c r="L163" i="1"/>
  <c r="G152" i="1"/>
  <c r="L152" i="1" s="1"/>
  <c r="L158" i="1"/>
  <c r="L156" i="1"/>
  <c r="L154" i="1"/>
  <c r="G142" i="1"/>
  <c r="L142" i="1" s="1"/>
  <c r="L148" i="1"/>
  <c r="L146" i="1"/>
  <c r="L144" i="1"/>
  <c r="G133" i="1"/>
  <c r="L133" i="1" s="1"/>
  <c r="L139" i="1"/>
  <c r="L137" i="1"/>
  <c r="L135" i="1"/>
  <c r="L130" i="1"/>
  <c r="L129" i="1" s="1"/>
  <c r="L127" i="1"/>
  <c r="L126" i="1" s="1"/>
  <c r="L290" i="1" l="1"/>
  <c r="L288" i="1"/>
  <c r="L282" i="1"/>
  <c r="L280" i="1" s="1"/>
  <c r="F124" i="1"/>
  <c r="L124" i="1" s="1"/>
  <c r="L123" i="1"/>
  <c r="L120" i="1"/>
  <c r="L119" i="1" s="1"/>
  <c r="G116" i="1"/>
  <c r="F116" i="1"/>
  <c r="G115" i="1"/>
  <c r="L115" i="1" s="1"/>
  <c r="G112" i="1"/>
  <c r="L112" i="1" s="1"/>
  <c r="G111" i="1"/>
  <c r="L111" i="1" s="1"/>
  <c r="G108" i="1"/>
  <c r="L108" i="1" s="1"/>
  <c r="G107" i="1"/>
  <c r="L107" i="1" s="1"/>
  <c r="F104" i="1"/>
  <c r="G104" i="1"/>
  <c r="G103" i="1"/>
  <c r="L103" i="1" s="1"/>
  <c r="G92" i="1"/>
  <c r="L92" i="1" s="1"/>
  <c r="L98" i="1"/>
  <c r="L96" i="1"/>
  <c r="L94" i="1"/>
  <c r="G82" i="1"/>
  <c r="L82" i="1" s="1"/>
  <c r="L88" i="1"/>
  <c r="L86" i="1"/>
  <c r="L84" i="1"/>
  <c r="G73" i="1"/>
  <c r="L73" i="1" s="1"/>
  <c r="L79" i="1"/>
  <c r="L77" i="1"/>
  <c r="L75" i="1"/>
  <c r="G64" i="1"/>
  <c r="L64" i="1" s="1"/>
  <c r="L70" i="1"/>
  <c r="L68" i="1"/>
  <c r="L66" i="1"/>
  <c r="G55" i="1"/>
  <c r="L55" i="1" s="1"/>
  <c r="L61" i="1"/>
  <c r="L59" i="1"/>
  <c r="L57" i="1"/>
  <c r="G46" i="1"/>
  <c r="L46" i="1" s="1"/>
  <c r="L52" i="1"/>
  <c r="L50" i="1"/>
  <c r="L48" i="1"/>
  <c r="G37" i="1"/>
  <c r="L37" i="1" s="1"/>
  <c r="L43" i="1"/>
  <c r="L41" i="1"/>
  <c r="L39" i="1"/>
  <c r="G28" i="1"/>
  <c r="L28" i="1" s="1"/>
  <c r="L34" i="1"/>
  <c r="L32" i="1"/>
  <c r="L30" i="1"/>
  <c r="G19" i="1"/>
  <c r="L19" i="1" s="1"/>
  <c r="L25" i="1"/>
  <c r="L23" i="1"/>
  <c r="L21" i="1"/>
  <c r="L14" i="1"/>
  <c r="L106" i="1" l="1"/>
  <c r="L122" i="1"/>
  <c r="L110" i="1"/>
  <c r="L116" i="1"/>
  <c r="L114" i="1" s="1"/>
  <c r="L104" i="1"/>
  <c r="L10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B27D1845-7D0B-4B90-920E-B899A7D7350D}">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<sst xmlns="http://schemas.openxmlformats.org/spreadsheetml/2006/main" count="3601" uniqueCount="1138">
  <si>
    <t>ANEXO-1        MEMÓRIA DE CÁLCULO - QUANTITATIVOS</t>
  </si>
  <si>
    <r>
      <t xml:space="preserve">Obra: </t>
    </r>
    <r>
      <rPr>
        <sz val="8"/>
        <rFont val="Arial"/>
        <family val="2"/>
      </rPr>
      <t>PAVIMENTAÇÃO EM PEDRAS DE PARALELEPÍPEDOS GRANÍTICOS</t>
    </r>
  </si>
  <si>
    <r>
      <t xml:space="preserve">Município: </t>
    </r>
    <r>
      <rPr>
        <sz val="8"/>
        <rFont val="Arial"/>
        <family val="2"/>
      </rPr>
      <t>Toritama - PERNAMBUCO</t>
    </r>
  </si>
  <si>
    <t>DADOS P/ CÁLCULOS</t>
  </si>
  <si>
    <t>QUANTIDADE (TOTAL)</t>
  </si>
  <si>
    <t>ITEM</t>
  </si>
  <si>
    <t>CÓDIGO</t>
  </si>
  <si>
    <t>FONTE</t>
  </si>
  <si>
    <t>DESCRIÇÃO DOS SERVIÇOS</t>
  </si>
  <si>
    <t>UNIDADE</t>
  </si>
  <si>
    <t>Largura</t>
  </si>
  <si>
    <t>Comp.</t>
  </si>
  <si>
    <t>Rep.</t>
  </si>
  <si>
    <t>Coef.</t>
  </si>
  <si>
    <t>Unidade</t>
  </si>
  <si>
    <t>1.0</t>
  </si>
  <si>
    <t>ADMINISTRAÇÃO LOCAL DA OBRA</t>
  </si>
  <si>
    <t>1.1</t>
  </si>
  <si>
    <t>COMP. - 1</t>
  </si>
  <si>
    <t>COMPOSIÇÃO</t>
  </si>
  <si>
    <t>Planilha dos custos da administração local para a obra.</t>
  </si>
  <si>
    <t>unidade</t>
  </si>
  <si>
    <t>2.0</t>
  </si>
  <si>
    <t>SERVIÇOS PRELIMINARES</t>
  </si>
  <si>
    <t>2.1</t>
  </si>
  <si>
    <t>COMP. 02</t>
  </si>
  <si>
    <t>Placa de obra em chapa de aço galvanizado.</t>
  </si>
  <si>
    <t>m²</t>
  </si>
  <si>
    <t>3.0</t>
  </si>
  <si>
    <t>3.1</t>
  </si>
  <si>
    <t>3.1.1</t>
  </si>
  <si>
    <t>3.2</t>
  </si>
  <si>
    <t>3.2.1</t>
  </si>
  <si>
    <t>m</t>
  </si>
  <si>
    <t>3.3</t>
  </si>
  <si>
    <t>PAVIMENTAÇÃO</t>
  </si>
  <si>
    <t>3.3.1</t>
  </si>
  <si>
    <t>94273</t>
  </si>
  <si>
    <t>Assentamento de guia (meio-fio) em trecho reto, confeccionada em concreto pré-fabricado, dimensões 100x15x13x30 cm (comprimento x base inferior x base superior x altura), para vias urbanas (uso viário). AF_06/2016.</t>
  </si>
  <si>
    <t>3.3.2</t>
  </si>
  <si>
    <t>08424</t>
  </si>
  <si>
    <t>Escoramento contínuo de meio-fio, com aquisição, espalhamento e transporte de material c/distancia até 10km.</t>
  </si>
  <si>
    <t>3.3.3</t>
  </si>
  <si>
    <t>COMP. 04</t>
  </si>
  <si>
    <t>Execução de pavimento em paralelepípedos sobre colchão de pó de pedra e rejuntamento com argamassa traço 1:3 (pedras pequenas 30 a 35 peças por m²).</t>
  </si>
  <si>
    <t>Altura / Prof.</t>
  </si>
  <si>
    <t>3.1.1.1</t>
  </si>
  <si>
    <t>3.1.2</t>
  </si>
  <si>
    <t>3.1.2.1</t>
  </si>
  <si>
    <t>3.1.2.2</t>
  </si>
  <si>
    <t>3.1.2.3</t>
  </si>
  <si>
    <t>3.1.1.2</t>
  </si>
  <si>
    <t>3.1.1.3</t>
  </si>
  <si>
    <t>3.1.1.4</t>
  </si>
  <si>
    <t>RUA EVERALDO GUEDES CAVALCANTI (Trecho - 2)</t>
  </si>
  <si>
    <t>3.1.2.4</t>
  </si>
  <si>
    <t>3.1.3</t>
  </si>
  <si>
    <t>3.1.3.1</t>
  </si>
  <si>
    <t>3.1.3.2</t>
  </si>
  <si>
    <t>3.1.3.3</t>
  </si>
  <si>
    <t>3.1.3.4</t>
  </si>
  <si>
    <t>3.1.4</t>
  </si>
  <si>
    <t>3.1.4.1</t>
  </si>
  <si>
    <t>3.1.4.2</t>
  </si>
  <si>
    <t>3.1.4.3</t>
  </si>
  <si>
    <t>3.1.4.4</t>
  </si>
  <si>
    <t>3.1.5</t>
  </si>
  <si>
    <t>3.1.5.1</t>
  </si>
  <si>
    <t>3.1.5.2</t>
  </si>
  <si>
    <t>3.1.5.3</t>
  </si>
  <si>
    <t>3.1.5.4</t>
  </si>
  <si>
    <t>RUA JOSÉ CECÍLIO DA SILVA (Trecho - 2)</t>
  </si>
  <si>
    <t>3.1.6</t>
  </si>
  <si>
    <t>3.1.6.1</t>
  </si>
  <si>
    <t>3.1.6.2</t>
  </si>
  <si>
    <t>3.1.6.3</t>
  </si>
  <si>
    <t>3.1.6.4</t>
  </si>
  <si>
    <t>RUA CELINO MINERVINO NETO (Trecho - 2)</t>
  </si>
  <si>
    <t>3.1.7</t>
  </si>
  <si>
    <t>3.1.7.1</t>
  </si>
  <si>
    <t>3.1.7.2</t>
  </si>
  <si>
    <t>3.1.7.3</t>
  </si>
  <si>
    <t>3.1.7.4</t>
  </si>
  <si>
    <t>RUA PROJETADA "S7Q39Q314" (Trecho - 1 em frente a Escola Laura Lopes)</t>
  </si>
  <si>
    <t>LOTEAMENTO ALTO DA BELA VISTA (Rua vizinhas ao loteamento NOVO ALVORECER, que iniciar em frente a BR-104)</t>
  </si>
  <si>
    <t>3.2.1.1</t>
  </si>
  <si>
    <t>3.2.1.2</t>
  </si>
  <si>
    <t>3.2.1.3</t>
  </si>
  <si>
    <t>3.2.1.4</t>
  </si>
  <si>
    <t>AVENIDA VER. SEVERINO IZIDIO PEREIRA (Cód. Log. 451)</t>
  </si>
  <si>
    <t>3.3.1.1</t>
  </si>
  <si>
    <t>3.3.1.2</t>
  </si>
  <si>
    <t>3.3.1.3</t>
  </si>
  <si>
    <t>3.3.1.4</t>
  </si>
  <si>
    <t>RUA JOSÉ MANOEL DA SILVA (Cód. Log. 563) - Trecho 1 e 2</t>
  </si>
  <si>
    <t>3.3.2.1</t>
  </si>
  <si>
    <t>3.3.2.2</t>
  </si>
  <si>
    <t>3.3.2.3</t>
  </si>
  <si>
    <t>3.3.2.4</t>
  </si>
  <si>
    <t>3.4</t>
  </si>
  <si>
    <t>BAIRRO COQUEIRAL</t>
  </si>
  <si>
    <t>3.4.1</t>
  </si>
  <si>
    <t>3.4.1.1</t>
  </si>
  <si>
    <t>3.4.1.2</t>
  </si>
  <si>
    <t>3.4.1.3</t>
  </si>
  <si>
    <t>3.4.1.4</t>
  </si>
  <si>
    <t>RUA MARIA DO SOCORRO FLORO PEREIRA (Cód. Log. 223) - Trecho 1</t>
  </si>
  <si>
    <t>3.4.2</t>
  </si>
  <si>
    <t>3.4.2.1</t>
  </si>
  <si>
    <t>3.4.2.2</t>
  </si>
  <si>
    <t>3.4.2.3</t>
  </si>
  <si>
    <t>3.4.2.4</t>
  </si>
  <si>
    <t>RUA CECÍLIA JÚLIA DE ARAÚJO (Cód. Log. 707)</t>
  </si>
  <si>
    <t>3.5</t>
  </si>
  <si>
    <t>LOTEAMENTO NOVO COQUEIRAL (Complemento de ruas não contempladas no Convênio n.º 895581/2019 firmado com SUDENE / MDR.</t>
  </si>
  <si>
    <t>RUA FELICIANO PATRÍCIO DE JESUS (Cód. Log. 521) - Trecho 2 "Rua Argentina"</t>
  </si>
  <si>
    <t>3.5.1</t>
  </si>
  <si>
    <t>3.5.1.1</t>
  </si>
  <si>
    <t>3.5.1.2</t>
  </si>
  <si>
    <t>3.5.1.3</t>
  </si>
  <si>
    <t>3.5.1.4</t>
  </si>
  <si>
    <t>3.5.2</t>
  </si>
  <si>
    <t>3.5.2.1</t>
  </si>
  <si>
    <t>3.5.2.2</t>
  </si>
  <si>
    <t>3.5.2.3</t>
  </si>
  <si>
    <t>3.5.2.4</t>
  </si>
  <si>
    <t>RUA JOÃO ROQUE DA SILVA (Cód. Log. 522) - Trecho 2 "Rua Uruguai"</t>
  </si>
  <si>
    <t>3.5.3</t>
  </si>
  <si>
    <t>3.5.3.1</t>
  </si>
  <si>
    <t>3.5.3.2</t>
  </si>
  <si>
    <t>3.5.3.3</t>
  </si>
  <si>
    <t>3.5.3.4</t>
  </si>
  <si>
    <t>RUA EDLEUZA MARIA DE JESUS (Cód. Log. 523) - Trecho 2 "Rua Colômbia"</t>
  </si>
  <si>
    <t>3.5.4</t>
  </si>
  <si>
    <t>3.5.4.1</t>
  </si>
  <si>
    <t>3.5.4.2</t>
  </si>
  <si>
    <t>3.5.4.3</t>
  </si>
  <si>
    <t>3.5.4.4</t>
  </si>
  <si>
    <t>RUA CHILE (Cód. Log. 524)</t>
  </si>
  <si>
    <t>3.6</t>
  </si>
  <si>
    <t>LOTEAMENTO BOA ESPERANÇA (Loteamento vizinho ao Novo Coqueiral).</t>
  </si>
  <si>
    <t>3.6.1</t>
  </si>
  <si>
    <t>3.6.1.1</t>
  </si>
  <si>
    <t>3.6.1.2</t>
  </si>
  <si>
    <t>3.6.1.3</t>
  </si>
  <si>
    <t>3.6.1.4</t>
  </si>
  <si>
    <t>3.6.2</t>
  </si>
  <si>
    <t>3.6.2.1</t>
  </si>
  <si>
    <t>3.6.2.2</t>
  </si>
  <si>
    <t>3.6.2.3</t>
  </si>
  <si>
    <t>3.6.2.4</t>
  </si>
  <si>
    <t>3.6.3</t>
  </si>
  <si>
    <t>3.6.3.1</t>
  </si>
  <si>
    <t>3.6.3.2</t>
  </si>
  <si>
    <t>3.6.3.3</t>
  </si>
  <si>
    <t>3.6.3.4</t>
  </si>
  <si>
    <t>3.6.4</t>
  </si>
  <si>
    <t>3.6.4.1</t>
  </si>
  <si>
    <t>3.6.4.2</t>
  </si>
  <si>
    <t>3.6.4.3</t>
  </si>
  <si>
    <t>3.6.4.4</t>
  </si>
  <si>
    <t>RUA MIZAEL XAVIER LEITE - "Rua Canadá"</t>
  </si>
  <si>
    <t>3.6.5</t>
  </si>
  <si>
    <t>3.6.5.1</t>
  </si>
  <si>
    <t>3.6.5.2</t>
  </si>
  <si>
    <t>3.6.5.3</t>
  </si>
  <si>
    <t>3.6.5.4</t>
  </si>
  <si>
    <t>RUA IVANDILSON VASCONCELOS DA SILVA (Trecho 2) - "Rua Panamá" - (Trecho não contemplado no Convênio da SUDENE).</t>
  </si>
  <si>
    <t>3.6.6</t>
  </si>
  <si>
    <t>3.6.6.1</t>
  </si>
  <si>
    <t>3.6.6.2</t>
  </si>
  <si>
    <t>3.6.6.3</t>
  </si>
  <si>
    <t>3.6.6.4</t>
  </si>
  <si>
    <t>RUA JOSÉ FÉLIX DO NASCIMENTO - "Rua França"</t>
  </si>
  <si>
    <t>3.7</t>
  </si>
  <si>
    <t xml:space="preserve">BAIRRO DO AREAL </t>
  </si>
  <si>
    <t>3.7.1</t>
  </si>
  <si>
    <t>3.7.1.1</t>
  </si>
  <si>
    <t>3.7.1.2</t>
  </si>
  <si>
    <t>3.7.1.3</t>
  </si>
  <si>
    <t>3.7.1.4</t>
  </si>
  <si>
    <t>RUA MONTEIRO LOBATO (Cód. Log. 258) - Trecho 2</t>
  </si>
  <si>
    <t>3.7.2</t>
  </si>
  <si>
    <t>3.7.2.1</t>
  </si>
  <si>
    <t>3.7.2.2</t>
  </si>
  <si>
    <t>3.7.2.3</t>
  </si>
  <si>
    <t>3.7.2.4</t>
  </si>
  <si>
    <t>3.7.3</t>
  </si>
  <si>
    <t>3.7.3.1</t>
  </si>
  <si>
    <t>3.7.3.2</t>
  </si>
  <si>
    <t>3.7.3.3</t>
  </si>
  <si>
    <t>3.7.3.4</t>
  </si>
  <si>
    <t>RUA ANTÔNIO JOSÉ DA SILVA (Cód. Log. 312)</t>
  </si>
  <si>
    <t>3.7.4</t>
  </si>
  <si>
    <t>3.7.4.1</t>
  </si>
  <si>
    <t>3.7.4.2</t>
  </si>
  <si>
    <t>3.7.4.3</t>
  </si>
  <si>
    <t>3.7.4.4</t>
  </si>
  <si>
    <t>RUA JOSEFA JOANA DA SILVA (Cód. Log. 626)</t>
  </si>
  <si>
    <t>3.7.5</t>
  </si>
  <si>
    <t>3.7.5.1</t>
  </si>
  <si>
    <t>3.7.5.2</t>
  </si>
  <si>
    <t>3.7.5.3</t>
  </si>
  <si>
    <t>3.7.5.4</t>
  </si>
  <si>
    <t>RUA PROJETADA 06 "S6Q06Q23" (Cód. Log. 625)</t>
  </si>
  <si>
    <t>3.7.6</t>
  </si>
  <si>
    <t>3.7.6.1</t>
  </si>
  <si>
    <t>3.7.6.2</t>
  </si>
  <si>
    <t>3.7.6.3</t>
  </si>
  <si>
    <t>3.7.6.4</t>
  </si>
  <si>
    <t>RUA PROJETADA 05 "S6Q23Q25" (Cód. Log. 429)</t>
  </si>
  <si>
    <t>3.7.7</t>
  </si>
  <si>
    <t>3.7.7.1</t>
  </si>
  <si>
    <t>3.7.7.2</t>
  </si>
  <si>
    <t>3.7.7.3</t>
  </si>
  <si>
    <t>3.7.7.4</t>
  </si>
  <si>
    <t>3.7.8</t>
  </si>
  <si>
    <t>3.7.8.1</t>
  </si>
  <si>
    <t>3.7.8.2</t>
  </si>
  <si>
    <t>3.7.8.3</t>
  </si>
  <si>
    <t>3.7.8.4</t>
  </si>
  <si>
    <t>RUA PROJETADA 04 "S6Q28Q30" (Cód. Log. 426)</t>
  </si>
  <si>
    <t>3.8</t>
  </si>
  <si>
    <t>BAIRRO DO ÂNTÃO</t>
  </si>
  <si>
    <t>3.8.1</t>
  </si>
  <si>
    <t>3.8.1.1</t>
  </si>
  <si>
    <t>3.8.1.2</t>
  </si>
  <si>
    <t>3.8.1.3</t>
  </si>
  <si>
    <t>3.8.1.4</t>
  </si>
  <si>
    <t>RUA 06 "S6Q53 (Cód. Log. 904)</t>
  </si>
  <si>
    <t>3.8.2</t>
  </si>
  <si>
    <t>3.8.2.1</t>
  </si>
  <si>
    <t>3.8.2.2</t>
  </si>
  <si>
    <t>3.8.2.3</t>
  </si>
  <si>
    <t>3.8.2.4</t>
  </si>
  <si>
    <t>RUA 03 "S6Q53Q56 (Cód. Log. 903)</t>
  </si>
  <si>
    <t>3.8.3</t>
  </si>
  <si>
    <t>3.8.3.1</t>
  </si>
  <si>
    <t>3.8.3.2</t>
  </si>
  <si>
    <t>3.8.3.3</t>
  </si>
  <si>
    <t>3.8.3.4</t>
  </si>
  <si>
    <t>RUA SEM DENOMINAÇÃO - PERPENDÍCULA as RUA 06 "S6Q53 (Cód. Log. 904) e 03 RUA 03 "S6Q53Q56 (Cód. Log. 903).</t>
  </si>
  <si>
    <r>
      <t>Endereço</t>
    </r>
    <r>
      <rPr>
        <sz val="8"/>
        <rFont val="Arial"/>
        <family val="2"/>
      </rPr>
      <t xml:space="preserve">: DIVERSAS RUAS DO MUNICÍPIO </t>
    </r>
    <r>
      <rPr>
        <b/>
        <u/>
        <sz val="8"/>
        <rFont val="Arial"/>
        <family val="2"/>
      </rPr>
      <t>(1º LOTE)</t>
    </r>
  </si>
  <si>
    <r>
      <t xml:space="preserve">DATA BASE DO ORÇAMENTO: </t>
    </r>
    <r>
      <rPr>
        <sz val="8"/>
        <rFont val="Arial"/>
        <family val="2"/>
      </rPr>
      <t>Abril/2022</t>
    </r>
  </si>
  <si>
    <t>RUA PROJETADA 07 (Sem denominação)</t>
  </si>
  <si>
    <t>3.7.9</t>
  </si>
  <si>
    <t>RUA PROJETADA 03 "S6Q26Q28" (Cód. Log. 425)</t>
  </si>
  <si>
    <t>3.7.9.1</t>
  </si>
  <si>
    <t>3.7.9.2</t>
  </si>
  <si>
    <t>3.7.9.3</t>
  </si>
  <si>
    <t>3.7.9.4</t>
  </si>
  <si>
    <t>RUA PROJETADA 01 (Sem denominação) - Trecho não contemplado no convênio, iniciando na estrada de acesso ao São João.</t>
  </si>
  <si>
    <t>3.3.3.1</t>
  </si>
  <si>
    <t>3.3.3.2</t>
  </si>
  <si>
    <t>3.3.3.3</t>
  </si>
  <si>
    <t>3.3.3.4</t>
  </si>
  <si>
    <t>LOCAL (RUA / BAIRRO / LOTEAMENTO)</t>
  </si>
  <si>
    <t xml:space="preserve">BAIRRO DEUS É FIEL </t>
  </si>
  <si>
    <t>OBSERVAÇÕES</t>
  </si>
  <si>
    <t>1</t>
  </si>
  <si>
    <t>Trecho da Rua situado do lado direito (LESTE) da Av. Romeu Simplicio</t>
  </si>
  <si>
    <t>1.2</t>
  </si>
  <si>
    <r>
      <t xml:space="preserve">RUA PROJETADA 03 "S7Q51Q60" (Trecho - 2) - CONHECIDA COMO </t>
    </r>
    <r>
      <rPr>
        <b/>
        <u/>
        <sz val="8"/>
        <rFont val="Arial"/>
        <family val="2"/>
      </rPr>
      <t>"RUA CARPINA"</t>
    </r>
  </si>
  <si>
    <t>1.3</t>
  </si>
  <si>
    <t>RUA AMARO CLEMENTINO MENINO (Trecho - 2) - CONHECIDA COMO "RUA TIMBAÚBA"</t>
  </si>
  <si>
    <t>1.4</t>
  </si>
  <si>
    <t>RUA ISMAEL DUNDA DE ARAÚJO (Trecho - 2) - CONHECIDA COMO "RUA MORENO"</t>
  </si>
  <si>
    <t>1.5</t>
  </si>
  <si>
    <t>1.6</t>
  </si>
  <si>
    <t>RUA CELINO MINERVINO NETO (Trecho - 2) - CONHECIDA COMO "RUA JUCIEL ESTAQUÍO DE LIMA"</t>
  </si>
  <si>
    <t>1.7</t>
  </si>
  <si>
    <t>RUA PROJETADA "S7Q39Q314" (Trecho - 1 do lado direito da Escola Laura Lopes "FRENTE DA IGREJA EM CONSTRUÇÃO)</t>
  </si>
  <si>
    <t>Rua situada do lado direito (LESTE) da Av. Romeu Simplicio</t>
  </si>
  <si>
    <t>2</t>
  </si>
  <si>
    <t>LOTEAMENTO ALTO DA BELA VISTA (Rua vizinhas ao bairro NOVO ALVORECER, que iniciar em frente a BR-104)</t>
  </si>
  <si>
    <t>Rua da Nova DELEGACIA DA POLÍCIA CIVIL</t>
  </si>
  <si>
    <t>3</t>
  </si>
  <si>
    <t>BAIRRO NOVO ALVORECER</t>
  </si>
  <si>
    <t>Trecho de rua, iniciando na estrada de acesso ao São João em frente as lavanderias existene.</t>
  </si>
  <si>
    <t>RUA JOSÉ MANOEL DA SILVA (Cód. Log. 563) - Trecho 1</t>
  </si>
  <si>
    <t>RUA JOSÉ MANOEL DA SILVA (Cód. Log. 563) - Trecho 2</t>
  </si>
  <si>
    <t>Localizado entre a Rua Pedro Ângelo e a Rua Henrique Tavares (Fazenda Velha) em frente ao BECO DO FUXICO</t>
  </si>
  <si>
    <t>RUA PROJETADA 12 (Sem denominação)</t>
  </si>
  <si>
    <t>Rua que se iniciar na Rua Pedro Ângelo (VIZINHA A UM TERRENO BALDIO MURADO)</t>
  </si>
  <si>
    <t>RUA PROJETADA (Sem denominação)</t>
  </si>
  <si>
    <t xml:space="preserve">Rua da GARAGEM MUNICÍPAL, que faz ligação de um lado (OESTE) entre o Bairro Coqueiral e o Bairro Deus é Fiel e do outro lado (LESTE) entre o bairro Coqueiral e a PE-090 </t>
  </si>
  <si>
    <t>4</t>
  </si>
  <si>
    <t>4.1</t>
  </si>
  <si>
    <t>4.2</t>
  </si>
  <si>
    <t>Rua de ligação entre a RUA MARIA DO SOCORRO FLORO PEREIRA até a RUA xxxx</t>
  </si>
  <si>
    <t>5</t>
  </si>
  <si>
    <t>5.1</t>
  </si>
  <si>
    <t>RUA MIZAEL XAVIER LEITE - CONHECIDA COMO "RUA CANADÁ"</t>
  </si>
  <si>
    <t>RUA IVANDILSON VASCONCELOS DA SILVA (Trecho 2) - CONHECIDA COMO "RUA PANAMÁ"</t>
  </si>
  <si>
    <t>Trecho final da rua que não foi contemplado no Convênio da SUDENE, para interligar até a RUA MEXICO).</t>
  </si>
  <si>
    <t>5.2</t>
  </si>
  <si>
    <t>5.3</t>
  </si>
  <si>
    <t>RUA DIOGENES JOSÉ DA SILVA - CONHECIDA COMO "TRAVESSA COLOMBIA"</t>
  </si>
  <si>
    <t>RUA PROJETADA 11 - S4Q81Q97 (Cód. Log. 532) - CONHECIDA COMO "RUA COLOMBIA"</t>
  </si>
  <si>
    <t>Trecho de continuidade da parte já pavimentada entre a PE-090 até a RUA MEXICO.</t>
  </si>
  <si>
    <t>5.4</t>
  </si>
  <si>
    <t>5.5</t>
  </si>
  <si>
    <t>RUA JOSÉ FÉLIX DO NASCIMENTO - CONHECIDA COMO "RUA FRANÇA"</t>
  </si>
  <si>
    <t>6</t>
  </si>
  <si>
    <t>6.1</t>
  </si>
  <si>
    <t>RUA PROJETADA - CONHECIDA COMO "RUA BUÍQUE")</t>
  </si>
  <si>
    <t>Rua de acesso direto a PE-090</t>
  </si>
  <si>
    <t>6.2</t>
  </si>
  <si>
    <t xml:space="preserve">Com Início na Rua Ivandilson Vasconcelos da Silva - "RUA PANAMÁ" </t>
  </si>
  <si>
    <t>6.3</t>
  </si>
  <si>
    <t xml:space="preserve">RUA JOSÉ WENDERSON DA SILVA </t>
  </si>
  <si>
    <t>Com Início na Rua Ivandilson Vasconcelos da Silva - "RUA PANAMÁ")</t>
  </si>
  <si>
    <t xml:space="preserve"> Perpendicular (TRAVESSA) entre a RUA PROJETADA 01 e RUA JOSÉ WENDERSON DA SILVA</t>
  </si>
  <si>
    <t>6.4</t>
  </si>
  <si>
    <t>6.5</t>
  </si>
  <si>
    <t>RUA FELICIANO PATRÍCIO DE JESUS (Cód. Log. 521) - CONHECIDA COMO  "RUA ARGENTINA"</t>
  </si>
  <si>
    <t>Trecho 2 - (Complemento de ruas não contempladas no Convênio n.º 895581/2019 firmado com SUDENE / MDR.</t>
  </si>
  <si>
    <t>6.6</t>
  </si>
  <si>
    <t>RUA JOÃO ROQUE DA SILVA (Cód. Log. 522) - CONHECIDA COMO "RUA URUGUAI"</t>
  </si>
  <si>
    <t>6.7</t>
  </si>
  <si>
    <t>RUA EDLEUZA MARIA DE JESUS (Cód. Log. 523) - CONHECIDA COMO  "RUA COLÔMBIA"</t>
  </si>
  <si>
    <t>6.8</t>
  </si>
  <si>
    <t xml:space="preserve"> (Complemento de ruas não contempladas no Convênio n.º 895581/2019 firmado com SUDENE / MDR.</t>
  </si>
  <si>
    <t xml:space="preserve">LOTEAMENTO NOVO COQUEIRAL </t>
  </si>
  <si>
    <t>7</t>
  </si>
  <si>
    <t>7.1</t>
  </si>
  <si>
    <t xml:space="preserve">Rua de ligação entre o bairro do AREAL e o bairro do ANTÃO </t>
  </si>
  <si>
    <t>7.2</t>
  </si>
  <si>
    <t>Frente da Escola Elizete Borba</t>
  </si>
  <si>
    <t>RUA PROJETADA "S6Q77Q92" (Cód. Log. 892) - Sem denominação oficial</t>
  </si>
  <si>
    <t>7.3</t>
  </si>
  <si>
    <t>7.4</t>
  </si>
  <si>
    <t>7.5</t>
  </si>
  <si>
    <t>7.6</t>
  </si>
  <si>
    <t>7.8</t>
  </si>
  <si>
    <t>7.7</t>
  </si>
  <si>
    <t>7.9</t>
  </si>
  <si>
    <t>8</t>
  </si>
  <si>
    <t>8.1</t>
  </si>
  <si>
    <t>Complemento da RUA JOSÉ RAFAEL</t>
  </si>
  <si>
    <t>8.2</t>
  </si>
  <si>
    <t>8.3</t>
  </si>
  <si>
    <t>RESUMO DAS RUAS CONTEMPLADAS PARA PAVIMENTAÇÃO EM PEDRAS DE PARALELEPÍPEDOS NO (1º LOTE/2022).</t>
  </si>
  <si>
    <r>
      <t>Endereço</t>
    </r>
    <r>
      <rPr>
        <sz val="8"/>
        <rFont val="Arial"/>
        <family val="2"/>
      </rPr>
      <t xml:space="preserve">: DIVERSAS RUAS DO MUNICÍPIO </t>
    </r>
    <r>
      <rPr>
        <b/>
        <u/>
        <sz val="8"/>
        <rFont val="Arial"/>
        <family val="2"/>
      </rPr>
      <t>(1º LOTE / 2022)</t>
    </r>
  </si>
  <si>
    <t>Rua que fica situada entre a RUA AMÁLIA FLORENTINO DANDA DE ARAÚJO e RUA EUZÉBIO FLORENTINO DANDA</t>
  </si>
  <si>
    <t>RUA PROJETADA 01 - (Sem denominação)</t>
  </si>
  <si>
    <t>RUA PROJETADA - (Sem denominação)</t>
  </si>
  <si>
    <t>RUA JOSÉ VALDECI TORRES</t>
  </si>
  <si>
    <t>RUA ESTELINA ANUCIADA TAVARES</t>
  </si>
  <si>
    <t>RUA JANILSON JOÃO DOS SANTOS</t>
  </si>
  <si>
    <t>TOTAL DE RUAS CONTEMPLADAS NESTE LOTE = 43</t>
  </si>
  <si>
    <t>BAIRRO DEUS É FIEL (Complemento de ruas não contempladas nos Convênios firmados com a Caixa Econômica Federal)</t>
  </si>
  <si>
    <t>RUA PROJETADA 03 "S7Q51Q60" (Trecho - 2)_"Rua Carpina"</t>
  </si>
  <si>
    <t>RUA AMARO CLEMENTINO MENINO (Trecho - 2)_"Rua Timbaúba"</t>
  </si>
  <si>
    <t>RUA ISMAEL DUNDA DE ARAÚJO (Trecho - 2)_"Rua Moreno"</t>
  </si>
  <si>
    <t>3.1.8</t>
  </si>
  <si>
    <t>3.1.8.1</t>
  </si>
  <si>
    <t>3.1.8.2</t>
  </si>
  <si>
    <t>3.1.8.3</t>
  </si>
  <si>
    <t>3.1.8.4</t>
  </si>
  <si>
    <t>RUA PROJETADA NOVA 01 (Trecho - 1 na lateral da Escola Laura Lopes)</t>
  </si>
  <si>
    <t>AVENIDA VER. SEVERINO IZIDIO PEREIRA (Cód. Log. 451)_"Rua da nova delegacia"</t>
  </si>
  <si>
    <t>Trecho - 1</t>
  </si>
  <si>
    <t>Trecho - 2</t>
  </si>
  <si>
    <t>MURO DE CONTENÇÃO</t>
  </si>
  <si>
    <t>3.3.1.5</t>
  </si>
  <si>
    <t>101207 ESCAVAÇÃO VERTICAL A CÉU ABERTO, EMOBRAS DE EDIFICAÇÃO INCLUINDO CARGA, DESCARGA E TRANSPORTE, EM SOLO DE 1ª CATEGORIA COM ESCAVADEIRA HIDRÁULICA (CAÇAMBA: 0,8 M³ / 111 HP), FROTA DE 2 CAMINHÕES BASCULANTES DE 18 M³, DMT ATÉ 1 KM E VELOCIDADE MÉDIA 14 KM/H. AF_05/2020 M3 AS 10,37</t>
  </si>
  <si>
    <t>Escavação vertical a céu aberto, em obras de edificação incluindo carga, descarga e transporte, em solo de 1ª categoria com escavadeira hidráulica (caçamba: 0,8 m³ / 111 hp), frota de 2 caminhões basculantes de 18 m³, dmt até 1 km e velocidade média 14 km/h. AF_05/2020.</t>
  </si>
  <si>
    <t>101207</t>
  </si>
  <si>
    <t>SINAPI (03/2022)</t>
  </si>
  <si>
    <t>m³</t>
  </si>
  <si>
    <t>Base para construção da fundação do muro de contenção.</t>
  </si>
  <si>
    <t>BAIRRO NOVO ALVORECER (Complemento de ruas não contempladas no Convênio n.º 003/2018 firmado com a SECID / SEDUH).</t>
  </si>
  <si>
    <t>1506055 Pedra argamassada com cimento e areia 1:3 - areia e pedra de mão comercial - fornecimento e assentamento m³ 333,78</t>
  </si>
  <si>
    <t>1506055</t>
  </si>
  <si>
    <t>Pedra argamassada com cimento e areia 1:3 - areia e pedra de mão comercial - fornecimento e assentamento.</t>
  </si>
  <si>
    <t>SICRO-PE (JAN./2022)</t>
  </si>
  <si>
    <t>Base do muro de contenção.</t>
  </si>
  <si>
    <t>Muro de contenção.</t>
  </si>
  <si>
    <t>C0328</t>
  </si>
  <si>
    <t>SEINFRA</t>
  </si>
  <si>
    <t>Aterro c/ compactação mecânica e controle, material de aquisição.</t>
  </si>
  <si>
    <t>Complemento de aterro entre o eixo da via e muro de contenção para regularização do greide projetado.</t>
  </si>
  <si>
    <t>95241 LASTRO DE CONCRETO MAGRO, APLICADO EM PISOS, LAJES SOBRE SOLO OU RADIERS, ESPESSURA DE 5 CM. AF_07/2016 M2 AS 25,17</t>
  </si>
  <si>
    <t>Lastro de concreto magro, aplicado em pisos, lajes sobre solo ou radiers, espessura de 5 cm. AF_07/2016.</t>
  </si>
  <si>
    <t>Proteção das calçadas na parte inferior do muro de contenção.</t>
  </si>
  <si>
    <t>95241</t>
  </si>
  <si>
    <t>RUA PROJETADA 12 (Sem denominação) - Trecho não contemplado no convênio, iniciando na estrada de acesso ao São João.</t>
  </si>
  <si>
    <t>AVENIDA PROJETADA "S4Q41Q203" (Cód. Log. 590) - Trecho 1</t>
  </si>
  <si>
    <t>3.4.3</t>
  </si>
  <si>
    <t>3.4.3.1</t>
  </si>
  <si>
    <t>3.4.3.2</t>
  </si>
  <si>
    <t>3.4.3.3</t>
  </si>
  <si>
    <t>3.4.3.4</t>
  </si>
  <si>
    <t>3.4.4</t>
  </si>
  <si>
    <t>3.4.4.1</t>
  </si>
  <si>
    <t>3.4.4.2</t>
  </si>
  <si>
    <t>3.4.4.3</t>
  </si>
  <si>
    <t>3.4.4.4</t>
  </si>
  <si>
    <t>RUA MARIA DE LOURDES SILVA CHAGAS (Cód. Log. 541)</t>
  </si>
  <si>
    <t>3.5.5</t>
  </si>
  <si>
    <t>3.5.5.1</t>
  </si>
  <si>
    <t>3.5.5.2</t>
  </si>
  <si>
    <t>3.5.5.3</t>
  </si>
  <si>
    <t>3.5.5.4</t>
  </si>
  <si>
    <t>RUA JOÃO SILVESTRE DA SILVA (Trecho-2)</t>
  </si>
  <si>
    <t>3.5.6</t>
  </si>
  <si>
    <t>3.5.6.1</t>
  </si>
  <si>
    <t>3.5.6.2</t>
  </si>
  <si>
    <t>3.5.6.3</t>
  </si>
  <si>
    <t>3.5.6.4</t>
  </si>
  <si>
    <t>RUA PROJETADA 02 (Cód. Log. 559)</t>
  </si>
  <si>
    <t>3.5.7</t>
  </si>
  <si>
    <t>3.5.7.1</t>
  </si>
  <si>
    <t>3.5.7.2</t>
  </si>
  <si>
    <t>3.5.7.3</t>
  </si>
  <si>
    <t>3.5.7.4</t>
  </si>
  <si>
    <t>RUA VIA PROJETADA 11 "S4Q131Q159" (Cód. Log. 552)</t>
  </si>
  <si>
    <t>3.5.8</t>
  </si>
  <si>
    <t>3.5.8.1</t>
  </si>
  <si>
    <t>3.5.8.2</t>
  </si>
  <si>
    <t>3.5.8.3</t>
  </si>
  <si>
    <t>3.5.8.4</t>
  </si>
  <si>
    <t>RUA PROJETADA 01 "S4Q84Q85" (Cód. Log. 543)</t>
  </si>
  <si>
    <t>3.5.9</t>
  </si>
  <si>
    <t>3.5.9.1</t>
  </si>
  <si>
    <t>3.5.9.2</t>
  </si>
  <si>
    <t>3.5.9.3</t>
  </si>
  <si>
    <t>3.5.9.4</t>
  </si>
  <si>
    <t>3.5.10</t>
  </si>
  <si>
    <t>3.5.10.1</t>
  </si>
  <si>
    <t>3.5.10.2</t>
  </si>
  <si>
    <t>3.5.10.3</t>
  </si>
  <si>
    <t>3.5.10.4</t>
  </si>
  <si>
    <t xml:space="preserve">RUA SEM DENOMINAÇÃO OFICIAL - Perpendícular a RUA PROJETADA 01 e RUA JOSÉ WENDERSON DA SILVA </t>
  </si>
  <si>
    <t>Trecho 1 (E0+0,00 à E10+0,00)</t>
  </si>
  <si>
    <t>Trecho 2 (E10+0,00 à E10+8,00)</t>
  </si>
  <si>
    <t>RUA JOSÉ CHAGAS SOBRINHO - "Rua de ligação entre o Bairro Coqueiral e a PE-090)</t>
  </si>
  <si>
    <t>RUA DIOGENES JOSÉ DA SILVA "Trav. Colombia"</t>
  </si>
  <si>
    <t>RUA PROJETADA 11 "S4Q81Q97" - (Cód. Log. 532)</t>
  </si>
  <si>
    <t>RUA PROJETADA "S6Q77Q92" (Cód. Log. 892) - Acesso da Escola Elizete Borba</t>
  </si>
  <si>
    <t>3.7.10</t>
  </si>
  <si>
    <t>3.7.10.1</t>
  </si>
  <si>
    <t>3.7.10.2</t>
  </si>
  <si>
    <t>3.7.10.3</t>
  </si>
  <si>
    <t>3.7.10.4</t>
  </si>
  <si>
    <t>3.7.11</t>
  </si>
  <si>
    <t>3.7.11.1</t>
  </si>
  <si>
    <t>3.7.11.2</t>
  </si>
  <si>
    <t>3.7.11.3</t>
  </si>
  <si>
    <t>3.7.11.4</t>
  </si>
  <si>
    <t>RUA PROJETADA 04 "S6Q31Q77" (Cód. Log. 899)</t>
  </si>
  <si>
    <t>3.7.12</t>
  </si>
  <si>
    <t>RUA LOCAL 05 "S6Q89Q95" (Cód. Log. 885)</t>
  </si>
  <si>
    <t>3.7.12.1</t>
  </si>
  <si>
    <t>3.7.12.2</t>
  </si>
  <si>
    <t>3.7.12.3</t>
  </si>
  <si>
    <t>3.7.12.4</t>
  </si>
  <si>
    <t>3.7.13</t>
  </si>
  <si>
    <t>3.7.13.1</t>
  </si>
  <si>
    <t>3.7.13.2</t>
  </si>
  <si>
    <t>3.7.13.3</t>
  </si>
  <si>
    <t>3.7.13.4</t>
  </si>
  <si>
    <t>FRENTE da Escola Elizete Borba</t>
  </si>
  <si>
    <t>SICRO-PE (JAN/2022)</t>
  </si>
  <si>
    <t>ORSE (03/2022)</t>
  </si>
  <si>
    <r>
      <t xml:space="preserve">Tabelas de Referência: </t>
    </r>
    <r>
      <rPr>
        <sz val="8"/>
        <rFont val="Arial"/>
        <family val="2"/>
      </rPr>
      <t>SINAPI DESONERADA (03/2022); SICRO-PE (01/2022); ORSE (03/2022)</t>
    </r>
  </si>
  <si>
    <t>4011209 Regularização do subleito m² 0,95</t>
  </si>
  <si>
    <t>4011209</t>
  </si>
  <si>
    <t>Regularização do subleito.</t>
  </si>
  <si>
    <t>3.3.1.5.1</t>
  </si>
  <si>
    <t>3.3.1.5.2</t>
  </si>
  <si>
    <t>3.3.1.5.3</t>
  </si>
  <si>
    <t>3.3.1.5.4</t>
  </si>
  <si>
    <t>COMP. 09</t>
  </si>
  <si>
    <t>94273 ASSENTAMENTO DE GUIA (MEIO-FIO) EM TRECHO RETO, CONFECCIONADA EM CONCRETO PRÉ-FABRICADO, DIMENSÕES 100X15X13X30 CM (COMPRIMENTO X BASE INFERIOR X BASE SUPERIOR X ALTURA), PARA VIAS URBANAS (USO VIÁRIO). AF_06/2016 M CR 46,88</t>
  </si>
  <si>
    <t>08424/ORSE Escoramento contínuo de meio-fio, com aquisição, espalhamento e transporte de material c/distancia até 10km m R$ 8,54</t>
  </si>
  <si>
    <t>MIN</t>
  </si>
  <si>
    <t>MED</t>
  </si>
  <si>
    <t>MAX</t>
  </si>
  <si>
    <t>Grau de Sigilo</t>
  </si>
  <si>
    <t>Construção e Reforma de Edifícios</t>
  </si>
  <si>
    <t>AC</t>
  </si>
  <si>
    <t>#PUBLICO</t>
  </si>
  <si>
    <t>SG</t>
  </si>
  <si>
    <t>R</t>
  </si>
  <si>
    <t>Nº OPERAÇÃO</t>
  </si>
  <si>
    <t>Nº SICONV</t>
  </si>
  <si>
    <t>PROPONENTE / TOMADOR</t>
  </si>
  <si>
    <t>DF</t>
  </si>
  <si>
    <t>L</t>
  </si>
  <si>
    <t>FILTRO</t>
  </si>
  <si>
    <t>BDI PAD</t>
  </si>
  <si>
    <t>APELIDO DO EMPREENDIMENTO / DESCRIÇÃO DO LOTE</t>
  </si>
  <si>
    <t>Construção de Praças Urbanas, Rodovias, Ferrovias e recapeamento e pavimentação de vias urbanas</t>
  </si>
  <si>
    <t>ANEXO-2  COMPOSIÇÃO DO BDI - NÃO DESONERADO</t>
  </si>
  <si>
    <r>
      <t>Endereço</t>
    </r>
    <r>
      <rPr>
        <sz val="8"/>
        <rFont val="Arial"/>
        <family val="2"/>
      </rPr>
      <t>: ESTRADA (VIA) DE ACESSO AO SÍTIO SÃO JOÃO (1ª ETAPA) - TORITAMA - PE</t>
    </r>
  </si>
  <si>
    <r>
      <t xml:space="preserve">Tabelas de Referência: </t>
    </r>
    <r>
      <rPr>
        <sz val="8"/>
        <rFont val="Arial"/>
        <family val="2"/>
      </rPr>
      <t>SINAPI NÃO DESONERADA (08/2021); SICRO-PE (04/2021); ORSE (07/2021)</t>
    </r>
  </si>
  <si>
    <r>
      <t xml:space="preserve">DATA BASE DO ORÇAMENTO: </t>
    </r>
    <r>
      <rPr>
        <sz val="8"/>
        <rFont val="Arial"/>
        <family val="2"/>
      </rPr>
      <t>Setembro/2021</t>
    </r>
  </si>
  <si>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</si>
  <si>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</si>
  <si>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</si>
  <si>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</si>
  <si>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</si>
  <si>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BDI 1</t>
  </si>
  <si>
    <t>TIPO DE OBRA:</t>
  </si>
  <si>
    <t>Itens</t>
  </si>
  <si>
    <t>Siglas</t>
  </si>
  <si>
    <t>% Adotado</t>
  </si>
  <si>
    <t>Situação</t>
  </si>
  <si>
    <t>1º Quartil</t>
  </si>
  <si>
    <t>Médio</t>
  </si>
  <si>
    <t>3º Quartil</t>
  </si>
  <si>
    <t>Construção e Manutenção de Estações e Redes de Distribuição de Energia Elétrica</t>
  </si>
  <si>
    <t>-</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</si>
  <si>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</si>
  <si>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</si>
  <si>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</si>
  <si>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</si>
  <si>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</si>
  <si>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</si>
  <si>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</si>
  <si>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NÃO DESONERADO</t>
  </si>
  <si>
    <t>Fornecimento de Materiais e Equipamentos (aquisição indireta - em conjunto com licitação de obras)</t>
  </si>
  <si>
    <t>Os valores de BDI foram calculados com o emprego da fórmula:</t>
  </si>
  <si>
    <t>BDI =</t>
  </si>
  <si>
    <t xml:space="preserve"> - 1</t>
  </si>
  <si>
    <t>(1-CP-ISS-CRPB)</t>
  </si>
  <si>
    <t>Fornecimento de Materiais e Equipamentos (aquisição direta)</t>
  </si>
  <si>
    <t>Observações:</t>
  </si>
  <si>
    <t>Estudos e Projetos, Planos e Gerenciamento e outros correlatos</t>
  </si>
  <si>
    <t>K1</t>
  </si>
  <si>
    <t>K2</t>
  </si>
  <si>
    <t>Local</t>
  </si>
  <si>
    <t>Data</t>
  </si>
  <si>
    <t>K3</t>
  </si>
  <si>
    <t>Responsável Técnico</t>
  </si>
  <si>
    <t>Nome:</t>
  </si>
  <si>
    <t>CREA/CAU:</t>
  </si>
  <si>
    <t>ART/RRT:</t>
  </si>
  <si>
    <t>(SELECIONAR)</t>
  </si>
  <si>
    <t>BDI NÃO DESONERADO (Fórmula Acórdão TCU)</t>
  </si>
  <si>
    <t>ANEXO-3  COMPOSIÇÕES DE PREÇO UNITÁRIO</t>
  </si>
  <si>
    <t>ENCARGOS SOCIAIS SOBRE PREÇOS DA MÃO-DE-OBRA:</t>
  </si>
  <si>
    <t>BDI NÃO DESONERADO = 20,09%</t>
  </si>
  <si>
    <t>001</t>
  </si>
  <si>
    <t>DESCRIÇÃO DO SERVIÇO OU FORNECIMENTO</t>
  </si>
  <si>
    <t>DATA BASE</t>
  </si>
  <si>
    <t>PREÇO REFERENCIAL</t>
  </si>
  <si>
    <t>COMP. 1</t>
  </si>
  <si>
    <t>Administração local da obra.</t>
  </si>
  <si>
    <t>SINAPI</t>
  </si>
  <si>
    <t>DESCRIÇÃO DO INSUMO</t>
  </si>
  <si>
    <t>COEFICIENTE</t>
  </si>
  <si>
    <t>CUSTO UNITÁRIO</t>
  </si>
  <si>
    <t>CUSTO TOTAL</t>
  </si>
  <si>
    <t>90778</t>
  </si>
  <si>
    <t>ENGENHEIRO CIVIL DE OBRA PLENO COM ENCARGOS COMPLEMENTARES.</t>
  </si>
  <si>
    <t>H</t>
  </si>
  <si>
    <t>90781</t>
  </si>
  <si>
    <t>TOPOGRAFO COM ENCARGOS COMPLEMENTARES.</t>
  </si>
  <si>
    <t>101389</t>
  </si>
  <si>
    <t>AUXILIAR DE TOPÓGRAFO COM ENCARGOS COMPLEMENTARES.</t>
  </si>
  <si>
    <t>MÊS</t>
  </si>
  <si>
    <t xml:space="preserve">SUB-TOTAL = </t>
  </si>
  <si>
    <t>Observação:</t>
  </si>
  <si>
    <t xml:space="preserve">TOTAL = </t>
  </si>
  <si>
    <t xml:space="preserve">BDI = 20,09% </t>
  </si>
  <si>
    <t>002</t>
  </si>
  <si>
    <t>COMP. 2</t>
  </si>
  <si>
    <t>PLACA DE OBRA EM CHAPA DE AÇO GALVANIZADO.</t>
  </si>
  <si>
    <t>M²</t>
  </si>
  <si>
    <t>SINAPI-I</t>
  </si>
  <si>
    <t>4417</t>
  </si>
  <si>
    <t>SARRAFO DE MADEIRA NÃO APARELHADA *2,5 X 7* CM, MAÇARANDUBA, ANGELIM OU EQUIVALENTE DA REGIÃO.</t>
  </si>
  <si>
    <t>M</t>
  </si>
  <si>
    <t>4491</t>
  </si>
  <si>
    <t>PONTALETE DE MADEIRA NÃO APARELHADA *7,5 X 7,5* CM (3 X 3 ") PINUS, MISTA OU EQUIVALENTE DA REGIÃO.</t>
  </si>
  <si>
    <t>4813</t>
  </si>
  <si>
    <t>PLACA DE OBRA (PARA CONSTRUÇÃO CIVIL) EM CHAPA GALVANIZADA *N. 22*, ADESIVADA, DE *2,0 X 1,125* M.</t>
  </si>
  <si>
    <t>M2</t>
  </si>
  <si>
    <t>5075</t>
  </si>
  <si>
    <t>PREGO DE AÇO POLÍDO COM CABEÇA 18 X 30 (2 3/4 X 10).</t>
  </si>
  <si>
    <t>KG</t>
  </si>
  <si>
    <t>DESCRIÇÃO DA MÃO-DE-OBRA</t>
  </si>
  <si>
    <t>CARPINTEIRO DE FORMAS COM ENCARGOS COMPLEMENTARES.</t>
  </si>
  <si>
    <t>HORA</t>
  </si>
  <si>
    <t>SERVENTE COM ENCARGOS COMPLEMENTARES.</t>
  </si>
  <si>
    <t>COMPOSIÇÃO AUXILIAR</t>
  </si>
  <si>
    <t>CONCRETO MAGRO PARA LASTRO, TRAÇO 1:4,5:4,5 (CIMENTO/ AREIA MÉDIA/ BRITA 1)  - PREPARO MECÂNICO COM BETONEIRA 400 L. AF_07/2016.</t>
  </si>
  <si>
    <t>M3</t>
  </si>
  <si>
    <t>003</t>
  </si>
  <si>
    <t>COMP. 3</t>
  </si>
  <si>
    <t>M³</t>
  </si>
  <si>
    <t>00006081</t>
  </si>
  <si>
    <t>ARGILA OU BARRO PARA ATERRO/REATERRO (COM TRANSPORTE ATE 10 KM).</t>
  </si>
  <si>
    <t>EQUIPAMENTOS</t>
  </si>
  <si>
    <t>CHP</t>
  </si>
  <si>
    <t>CHI</t>
  </si>
  <si>
    <t>SERVENTE COM ENCARGOS COMPLEMENTARES</t>
  </si>
  <si>
    <t>004</t>
  </si>
  <si>
    <t>COMP. 4</t>
  </si>
  <si>
    <t>DESCRIÇÃO DO INSUMO/COMPOSIÇÃO</t>
  </si>
  <si>
    <t>PO DE PEDRA (POSTO PEDREIRA/FORNECEDOR, SEM FRETE).</t>
  </si>
  <si>
    <t>0,1140000</t>
  </si>
  <si>
    <t>4385</t>
  </si>
  <si>
    <t>PARALELEPIPEDO GRANITICO OU BASALTICO, PARA PAVIMENTACAO, SEM FRETE (VARIACAO REGIONAL DE PECAS POR M2)</t>
  </si>
  <si>
    <t>MIL</t>
  </si>
  <si>
    <t>0,0330000</t>
  </si>
  <si>
    <t>88260</t>
  </si>
  <si>
    <t>CALCETEIRO COM ENCARGOS COMPLEMENTARES</t>
  </si>
  <si>
    <t>0,4021000</t>
  </si>
  <si>
    <t>88316</t>
  </si>
  <si>
    <t>88628</t>
  </si>
  <si>
    <t>ARGAMASSA TRAÇO 1:3 (EM VOLUME DE CIMENTO E AREIA MÉDIA ÚMIDA), PREPARO MECÂNICO COM BETONEIRA 400 L. AF_08/2019</t>
  </si>
  <si>
    <t>0,0204000</t>
  </si>
  <si>
    <t>TRANSPORTE COM CAMINHÃO BASCULANTE DE 14 M³, EM VIA URBANA PAVIMENTADA, DMT ATÉ 30 KM (UNIDADE: M3XKM). AF_07/2020. (Transporte do pó de pedra)</t>
  </si>
  <si>
    <t>M3XKM</t>
  </si>
  <si>
    <t>TRANSPORTE COM CAMINHÃO BASCULANTE DE 14 M³, EM VIA URBANA EM REVESTIMENTO PRIMÁRIO (UNIDADE: TXKM). AF_07/2020. (Transporte dos paralelepípedos)</t>
  </si>
  <si>
    <t>TXKM</t>
  </si>
  <si>
    <t>Bancos</t>
  </si>
  <si>
    <t>Não Desonerado: 
Horista:  113,83%
Mensalista:  69,92%</t>
  </si>
  <si>
    <t>Item</t>
  </si>
  <si>
    <t>Código</t>
  </si>
  <si>
    <t>Banco</t>
  </si>
  <si>
    <t>Descrição</t>
  </si>
  <si>
    <t>Und</t>
  </si>
  <si>
    <t>Quant.</t>
  </si>
  <si>
    <t>Valor Unit com BDI</t>
  </si>
  <si>
    <t>Total</t>
  </si>
  <si>
    <t>Peso (%)</t>
  </si>
  <si>
    <t xml:space="preserve"> 1 </t>
  </si>
  <si>
    <t xml:space="preserve"> 1.1 </t>
  </si>
  <si>
    <t xml:space="preserve"> COMP-0001 </t>
  </si>
  <si>
    <t>PLANILHA DOS CUSTOS DA ADMINISTRAÇÃO LOCAL PARA A OBRA</t>
  </si>
  <si>
    <t xml:space="preserve"> 2 </t>
  </si>
  <si>
    <t xml:space="preserve"> 2.1 </t>
  </si>
  <si>
    <t xml:space="preserve"> COMP-0002 </t>
  </si>
  <si>
    <t>PLACA DE OBRA EM CHAPA DE AÇO GALVANIZADO</t>
  </si>
  <si>
    <t xml:space="preserve"> 3 </t>
  </si>
  <si>
    <t xml:space="preserve"> 3.1 </t>
  </si>
  <si>
    <t>BAIRRO DEUS É FIEL (complemento de ruas contempladas nos convênios firmados com a Caixa Econômica Federal)</t>
  </si>
  <si>
    <t xml:space="preserve"> 3.1.1 </t>
  </si>
  <si>
    <t>RUA EVERALDOGUEDES CAVALCANTI (trecho - 2)</t>
  </si>
  <si>
    <t xml:space="preserve"> 3.1.1.1 </t>
  </si>
  <si>
    <t xml:space="preserve"> 4011209 </t>
  </si>
  <si>
    <t>SICRO3</t>
  </si>
  <si>
    <t xml:space="preserve"> 3.1.1.2 </t>
  </si>
  <si>
    <t xml:space="preserve"> 94273 </t>
  </si>
  <si>
    <t>ASSENTAMENTO DE GUIA (MEIO-FIO) EM TRECHO RETO, CONFECCIONADA EM CONCRETO PRÉ-FABRICADO, DIMENSÕES 100X15X13X30 CM (COMPRIMENTO X BASE INFERIOR X BASE SUPERIOR X ALTURA), PARA VIAS URBANAS (USO VIÁRIO). AF_06/2016</t>
  </si>
  <si>
    <t xml:space="preserve"> 3.1.1.3 </t>
  </si>
  <si>
    <t xml:space="preserve"> 8424 </t>
  </si>
  <si>
    <t>ORSE</t>
  </si>
  <si>
    <t xml:space="preserve"> 3.1.1.4 </t>
  </si>
  <si>
    <t xml:space="preserve"> COMP-0004 </t>
  </si>
  <si>
    <t>EXECUÇÃO DE PAVIMENTO EM PARALELEPÍPEDOS SOBRE COLCHÃO DE PÓ DE PEDRA E REJUNTAMENTO COM ARGAMASSA TRAÇO 1:3 (PEDRAS PEQUENAS 30 A 35 PEÇAS POR M²).</t>
  </si>
  <si>
    <t xml:space="preserve"> 3.1.2 </t>
  </si>
  <si>
    <t>RUA PROJETADA 03 "S7Q51Q60" (trecho - 2)_"Rua Carpina"</t>
  </si>
  <si>
    <t xml:space="preserve"> 3.1.2.1 </t>
  </si>
  <si>
    <t xml:space="preserve"> 3.1.2.2 </t>
  </si>
  <si>
    <t xml:space="preserve"> 3.1.2.3 </t>
  </si>
  <si>
    <t xml:space="preserve"> 3.1.2.4 </t>
  </si>
  <si>
    <t xml:space="preserve"> 3.1.3 </t>
  </si>
  <si>
    <t>RUA AMARO CLEMENTINO MENINO (trecho - 2)_"Rua Timbaúba"</t>
  </si>
  <si>
    <t xml:space="preserve"> 3.1.3.1 </t>
  </si>
  <si>
    <t xml:space="preserve"> 3.1.3.2 </t>
  </si>
  <si>
    <t xml:space="preserve"> 3.1.3.3 </t>
  </si>
  <si>
    <t xml:space="preserve"> 3.1.3.4 </t>
  </si>
  <si>
    <t xml:space="preserve"> 3.1.4 </t>
  </si>
  <si>
    <t>RUA ISMAEL DUNDA DE ARAÚJO (trecho - 2)_"Rua Moreno"</t>
  </si>
  <si>
    <t xml:space="preserve"> 3.1.4.1 </t>
  </si>
  <si>
    <t xml:space="preserve"> 3.1.4.2 </t>
  </si>
  <si>
    <t xml:space="preserve"> 3.1.4.3 </t>
  </si>
  <si>
    <t xml:space="preserve"> 3.1.4.4 </t>
  </si>
  <si>
    <t xml:space="preserve"> 3.1.5 </t>
  </si>
  <si>
    <t>RUA JOSÉ CECÍLIO DA SILVA (trecho - 2)</t>
  </si>
  <si>
    <t xml:space="preserve"> 3.1.5.1 </t>
  </si>
  <si>
    <t xml:space="preserve"> 3.1.5.2 </t>
  </si>
  <si>
    <t xml:space="preserve"> 3.1.5.3 </t>
  </si>
  <si>
    <t xml:space="preserve"> 3.1.5.4 </t>
  </si>
  <si>
    <t xml:space="preserve"> 3.1.6 </t>
  </si>
  <si>
    <t>RUA CELINO MINERVINO NETO (trecho - 2)</t>
  </si>
  <si>
    <t xml:space="preserve"> 3.1.6.1 </t>
  </si>
  <si>
    <t xml:space="preserve"> 3.1.6.2 </t>
  </si>
  <si>
    <t xml:space="preserve"> 3.1.6.3 </t>
  </si>
  <si>
    <t xml:space="preserve"> 3.1.6.4 </t>
  </si>
  <si>
    <t xml:space="preserve"> 3.1.7 </t>
  </si>
  <si>
    <t>RUA PROJETADA "S7Q39Q314" (trecho - 1 em frente a Escola Laura Lopes)</t>
  </si>
  <si>
    <t xml:space="preserve"> 3.1.7.1 </t>
  </si>
  <si>
    <t xml:space="preserve"> 3.1.7.2 </t>
  </si>
  <si>
    <t xml:space="preserve"> 3.1.7.3 </t>
  </si>
  <si>
    <t xml:space="preserve"> 3.1.7.4 </t>
  </si>
  <si>
    <t xml:space="preserve"> 3.1.8 </t>
  </si>
  <si>
    <t xml:space="preserve"> 3.1.8.1 </t>
  </si>
  <si>
    <t xml:space="preserve"> 3.1.8.2 </t>
  </si>
  <si>
    <t xml:space="preserve"> 3.1.8.3 </t>
  </si>
  <si>
    <t xml:space="preserve"> 3.1.8.4 </t>
  </si>
  <si>
    <t xml:space="preserve"> 3.2 </t>
  </si>
  <si>
    <t>LOTEAMENTO ALTO DA BELA VISTA (Ruas vizinhas ao loteamento NOVO ALVORECER, que inicia em frente a BR-104)</t>
  </si>
  <si>
    <t xml:space="preserve"> 3.2.1 </t>
  </si>
  <si>
    <t>AVENIDA VER. SEVERINO IZIDIO PEREIRA (cód. Log. 451)_"Rua da nova delegacia"</t>
  </si>
  <si>
    <t xml:space="preserve"> 3.2.1.1 </t>
  </si>
  <si>
    <t xml:space="preserve"> 3.2.1.2 </t>
  </si>
  <si>
    <t xml:space="preserve"> 3.2.1.3 </t>
  </si>
  <si>
    <t xml:space="preserve"> 3.2.1.4 </t>
  </si>
  <si>
    <t xml:space="preserve"> 3.3 </t>
  </si>
  <si>
    <t>BAIRRO NOVO ALVORECER (Complemento de ruas não contempladas no Convênio nº. 003/2018 firmado SECID/ SEDUH</t>
  </si>
  <si>
    <t xml:space="preserve"> 3.3.1 </t>
  </si>
  <si>
    <t>RUA JOSÉ MANOEL DA SILVA (cód. Log. 563) - trecho 1 e 2</t>
  </si>
  <si>
    <t xml:space="preserve"> 3.3.1.1 </t>
  </si>
  <si>
    <t xml:space="preserve"> 3.3.1.2 </t>
  </si>
  <si>
    <t xml:space="preserve"> 3.3.1.3 </t>
  </si>
  <si>
    <t xml:space="preserve"> 3.3.1.4 </t>
  </si>
  <si>
    <t xml:space="preserve"> 3.3.1.5.1.1 </t>
  </si>
  <si>
    <t xml:space="preserve"> 101207 </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</si>
  <si>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</si>
  <si>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 3.3.1.5.1.2 </t>
  </si>
  <si>
    <t xml:space="preserve"> 1506055 </t>
  </si>
  <si>
    <t xml:space="preserve"> 3.3.1.5.1.3 </t>
  </si>
  <si>
    <t xml:space="preserve"> COMP-009 </t>
  </si>
  <si>
    <t>ATERRO C/ COMPACTAÇÃO MECÂNICA E CONTROLE, MATERIAL DE AQUISIÇÃO</t>
  </si>
  <si>
    <t xml:space="preserve"> 3.3.1.5.1.4 </t>
  </si>
  <si>
    <t xml:space="preserve"> 95241 </t>
  </si>
  <si>
    <t>LASTRO DE CONCRETO MAGRO, APLICADO EM PISOS, LAJES SOBRE SOLO OU RADIERS, ESPESSURA DE 5 CM. AF_07/2016</t>
  </si>
  <si>
    <t xml:space="preserve"> 3.3.2 </t>
  </si>
  <si>
    <t>RUA PROJETADA 01 (Sem denominação) - Trecho não contemplado no Convênio n.º 003/2018 firmado com a SECID/SEDUH) iniciando na estrada de acesso ao São João</t>
  </si>
  <si>
    <t xml:space="preserve"> 3.3.2.1 </t>
  </si>
  <si>
    <t xml:space="preserve"> 3.3.2.2 </t>
  </si>
  <si>
    <t xml:space="preserve"> 3.3.2.3 </t>
  </si>
  <si>
    <t xml:space="preserve"> 3.3.2.4 </t>
  </si>
  <si>
    <t xml:space="preserve"> 3.3.3 </t>
  </si>
  <si>
    <t>RUA PROJETADA 12 (Sem denominação) - Trecho não contemplado no Convênio n.º 003/2018 SECID/SEDUH, iniciando na Rua Pedro Ângelo..</t>
  </si>
  <si>
    <t xml:space="preserve"> 3.3.3.1 </t>
  </si>
  <si>
    <t xml:space="preserve"> 3.3.3.2 </t>
  </si>
  <si>
    <t xml:space="preserve"> 3.3.3.3 </t>
  </si>
  <si>
    <t xml:space="preserve"> 3.3.3.4 </t>
  </si>
  <si>
    <t xml:space="preserve"> 3.4 </t>
  </si>
  <si>
    <t xml:space="preserve"> 3.4.1 </t>
  </si>
  <si>
    <t xml:space="preserve"> 3.4.1.1 </t>
  </si>
  <si>
    <t xml:space="preserve"> 3.4.1.2 </t>
  </si>
  <si>
    <t xml:space="preserve"> 3.4.1.3 </t>
  </si>
  <si>
    <t xml:space="preserve"> 3.4.1.4 </t>
  </si>
  <si>
    <t xml:space="preserve"> 3.4.2 </t>
  </si>
  <si>
    <t xml:space="preserve"> 3.4.2.1 </t>
  </si>
  <si>
    <t xml:space="preserve"> 3.4.2.2 </t>
  </si>
  <si>
    <t xml:space="preserve"> 3.4.2.3 </t>
  </si>
  <si>
    <t xml:space="preserve"> 3.4.2.4 </t>
  </si>
  <si>
    <t xml:space="preserve"> 3.4.3 </t>
  </si>
  <si>
    <t xml:space="preserve"> 3.4.3.1 </t>
  </si>
  <si>
    <t xml:space="preserve"> 3.4.3.2 </t>
  </si>
  <si>
    <t xml:space="preserve"> 3.4.3.3 </t>
  </si>
  <si>
    <t xml:space="preserve"> 3.4.3.4 </t>
  </si>
  <si>
    <t xml:space="preserve"> 3.4.4 </t>
  </si>
  <si>
    <t xml:space="preserve"> 3.4.4.1 </t>
  </si>
  <si>
    <t xml:space="preserve"> 3.4.4.2 </t>
  </si>
  <si>
    <t xml:space="preserve"> 3.4.4.3 </t>
  </si>
  <si>
    <t xml:space="preserve"> 3.4.4.4 </t>
  </si>
  <si>
    <t xml:space="preserve"> 3.5 </t>
  </si>
  <si>
    <t>LOTEAMENTO NOVO COQUEIRAL (Complemento de ruas não contempladas no Convênio nº. 895581/2019 firmado com SUDENE/MDR.</t>
  </si>
  <si>
    <t xml:space="preserve"> 3.5.1 </t>
  </si>
  <si>
    <t>RUA FELICIANO PATRÍCIO DE JESUS (Cód. Log. 521) -trecho 2 "Rua Argentina"</t>
  </si>
  <si>
    <t xml:space="preserve"> 3.5.1.1 </t>
  </si>
  <si>
    <t xml:space="preserve"> 3.5.1.2 </t>
  </si>
  <si>
    <t xml:space="preserve"> 3.5.1.3 </t>
  </si>
  <si>
    <t xml:space="preserve"> 3.5.1.4 </t>
  </si>
  <si>
    <t xml:space="preserve"> 3.5.2 </t>
  </si>
  <si>
    <t>RUA JOÃO ROQUE DA SILVA (cód. log- 522) - trecho 2 "Rua Uruguai"</t>
  </si>
  <si>
    <t xml:space="preserve"> 3.5.2.1 </t>
  </si>
  <si>
    <t xml:space="preserve"> 3.5.2.2 </t>
  </si>
  <si>
    <t xml:space="preserve"> 3.5.2.3 </t>
  </si>
  <si>
    <t xml:space="preserve"> 3.5.2.4 </t>
  </si>
  <si>
    <t xml:space="preserve"> 3.5.3 </t>
  </si>
  <si>
    <t>RUA EDILEUZA MARIA DE JESUS (cód. log. 523) - trecho 2 "rua Colômbia"</t>
  </si>
  <si>
    <t xml:space="preserve"> 3.5.3.1 </t>
  </si>
  <si>
    <t xml:space="preserve"> 3.5.3.2 </t>
  </si>
  <si>
    <t xml:space="preserve"> 3.5.3.3 </t>
  </si>
  <si>
    <t xml:space="preserve"> 3.5.3.4 </t>
  </si>
  <si>
    <t xml:space="preserve"> 3.5.4 </t>
  </si>
  <si>
    <t>RUA CHILE (cód. log. 524)</t>
  </si>
  <si>
    <t xml:space="preserve"> 3.5.4.1 </t>
  </si>
  <si>
    <t xml:space="preserve"> 3.5.4.2 </t>
  </si>
  <si>
    <t xml:space="preserve"> 3.5.4.3 </t>
  </si>
  <si>
    <t xml:space="preserve"> 3.5.4.4 </t>
  </si>
  <si>
    <t xml:space="preserve"> 3.5.5 </t>
  </si>
  <si>
    <t xml:space="preserve"> 3.5.5.1 </t>
  </si>
  <si>
    <t xml:space="preserve"> 3.5.5.2 </t>
  </si>
  <si>
    <t xml:space="preserve"> 3.5.5.3 </t>
  </si>
  <si>
    <t xml:space="preserve"> 3.5.5.4 </t>
  </si>
  <si>
    <t xml:space="preserve"> 3.5.6 </t>
  </si>
  <si>
    <t xml:space="preserve"> 3.5.6.1 </t>
  </si>
  <si>
    <t xml:space="preserve"> 3.5.6.2 </t>
  </si>
  <si>
    <t xml:space="preserve"> 3.5.6.3 </t>
  </si>
  <si>
    <t xml:space="preserve"> 3.5.6.4 </t>
  </si>
  <si>
    <t xml:space="preserve"> 3.5.7 </t>
  </si>
  <si>
    <t xml:space="preserve"> 3.5.7.1 </t>
  </si>
  <si>
    <t xml:space="preserve"> 3.5.7.2 </t>
  </si>
  <si>
    <t xml:space="preserve"> 3.5.7.3 </t>
  </si>
  <si>
    <t xml:space="preserve"> 3.5.7.4 </t>
  </si>
  <si>
    <t xml:space="preserve"> 3.5.8 </t>
  </si>
  <si>
    <t xml:space="preserve"> 3.5.8.1 </t>
  </si>
  <si>
    <t xml:space="preserve"> 3.5.8.2 </t>
  </si>
  <si>
    <t xml:space="preserve"> 3.5.8.3 </t>
  </si>
  <si>
    <t xml:space="preserve"> 3.5.8.4 </t>
  </si>
  <si>
    <t xml:space="preserve"> 3.5.9 </t>
  </si>
  <si>
    <t>RUA JOSÉ WENDERSON DA SILVA</t>
  </si>
  <si>
    <t xml:space="preserve"> 3.5.9.1 </t>
  </si>
  <si>
    <t xml:space="preserve"> 3.5.9.2 </t>
  </si>
  <si>
    <t xml:space="preserve"> 3.5.9.3 </t>
  </si>
  <si>
    <t xml:space="preserve"> 3.5.9.4 </t>
  </si>
  <si>
    <t xml:space="preserve"> 3.5.10 </t>
  </si>
  <si>
    <t>RUA SEM DENOMINAÇÃO OFICIAL - Perpendicular a RUA PROJETADA 01 e RUA JOSÉ WENDERSON DA SILVA</t>
  </si>
  <si>
    <t xml:space="preserve"> 3.5.10.1 </t>
  </si>
  <si>
    <t xml:space="preserve"> 3.5.10.2 </t>
  </si>
  <si>
    <t xml:space="preserve"> 3.5.10.3 </t>
  </si>
  <si>
    <t xml:space="preserve"> 3.5.10.4 </t>
  </si>
  <si>
    <t xml:space="preserve"> 3.6 </t>
  </si>
  <si>
    <t xml:space="preserve"> 3.6.1 </t>
  </si>
  <si>
    <t xml:space="preserve"> 3.6.1.1 </t>
  </si>
  <si>
    <t xml:space="preserve"> 3.6.1.2 </t>
  </si>
  <si>
    <t xml:space="preserve"> 3.6.1.3 </t>
  </si>
  <si>
    <t xml:space="preserve"> 3.6.1.4 </t>
  </si>
  <si>
    <t xml:space="preserve"> 3.6.2 </t>
  </si>
  <si>
    <t xml:space="preserve"> 3.6.2.1 </t>
  </si>
  <si>
    <t xml:space="preserve"> 3.6.2.2 </t>
  </si>
  <si>
    <t xml:space="preserve"> 3.6.2.3 </t>
  </si>
  <si>
    <t xml:space="preserve"> 3.6.2.4 </t>
  </si>
  <si>
    <t xml:space="preserve"> 3.6.3 </t>
  </si>
  <si>
    <t>RUA IVANDILSON VASCONCELOS DA SILVA (trecho 2) - "Rua Panamá" - (Trecho não contemplado no Convênio da SUDENE).</t>
  </si>
  <si>
    <t xml:space="preserve"> 3.6.3.1 </t>
  </si>
  <si>
    <t xml:space="preserve"> 3.6.3.2 </t>
  </si>
  <si>
    <t xml:space="preserve"> 3.6.3.3 </t>
  </si>
  <si>
    <t xml:space="preserve"> 3.6.3.4 </t>
  </si>
  <si>
    <t xml:space="preserve"> 3.6.4 </t>
  </si>
  <si>
    <t>RUA DIOGENES JOSÉ DA SILVA "Trav. Colômbia"</t>
  </si>
  <si>
    <t xml:space="preserve"> 3.6.4.1 </t>
  </si>
  <si>
    <t xml:space="preserve"> 3.6.4.2 </t>
  </si>
  <si>
    <t xml:space="preserve"> 3.6.4.3 </t>
  </si>
  <si>
    <t xml:space="preserve"> 3.6.4.4 </t>
  </si>
  <si>
    <t xml:space="preserve"> 3.6.5 </t>
  </si>
  <si>
    <t xml:space="preserve"> 3.6.5.1 </t>
  </si>
  <si>
    <t xml:space="preserve"> 3.6.5.2 </t>
  </si>
  <si>
    <t xml:space="preserve"> 3.6.5.3 </t>
  </si>
  <si>
    <t xml:space="preserve"> 3.6.5.4 </t>
  </si>
  <si>
    <t xml:space="preserve"> 3.6.6 </t>
  </si>
  <si>
    <t xml:space="preserve"> 3.6.6.1 </t>
  </si>
  <si>
    <t xml:space="preserve"> 3.6.6.2 </t>
  </si>
  <si>
    <t xml:space="preserve"> 3.6.6.3 </t>
  </si>
  <si>
    <t xml:space="preserve"> 3.6.6.4 </t>
  </si>
  <si>
    <t xml:space="preserve"> 3.7 </t>
  </si>
  <si>
    <t>BAIRRO DO AREAL</t>
  </si>
  <si>
    <t xml:space="preserve"> 3.7.1 </t>
  </si>
  <si>
    <t>RUA MONTEIRO LOBATO (cód. log. 258) - trecho 2</t>
  </si>
  <si>
    <t xml:space="preserve"> 3.7.1.1 </t>
  </si>
  <si>
    <t xml:space="preserve"> 3.7.1.2 </t>
  </si>
  <si>
    <t xml:space="preserve"> 3.7.1.3 </t>
  </si>
  <si>
    <t xml:space="preserve"> 3.7.1.4 </t>
  </si>
  <si>
    <t xml:space="preserve"> 3.7.2 </t>
  </si>
  <si>
    <t>RUA PROJETADA "S6Q77Q92" (cód. log.892) - Acesso da Escola Elizete Borba</t>
  </si>
  <si>
    <t xml:space="preserve"> 3.7.2.1 </t>
  </si>
  <si>
    <t xml:space="preserve"> 3.7.2.2 </t>
  </si>
  <si>
    <t xml:space="preserve"> 3.7.2.3 </t>
  </si>
  <si>
    <t xml:space="preserve"> 3.7.2.4 </t>
  </si>
  <si>
    <t xml:space="preserve"> 3.7.3 </t>
  </si>
  <si>
    <t>RUA ANTÔNIO JOSÉ DA SILVA (cód. log. 312)</t>
  </si>
  <si>
    <t xml:space="preserve"> 3.7.3.1 </t>
  </si>
  <si>
    <t xml:space="preserve"> 3.7.3.2 </t>
  </si>
  <si>
    <t xml:space="preserve"> 3.7.3.3 </t>
  </si>
  <si>
    <t xml:space="preserve"> 3.7.3.4 </t>
  </si>
  <si>
    <t xml:space="preserve"> 3.7.4 </t>
  </si>
  <si>
    <t>RUA JOSEFA JOANA DA SILVA (cod. log. 626)</t>
  </si>
  <si>
    <t xml:space="preserve"> 3.7.4.1 </t>
  </si>
  <si>
    <t xml:space="preserve"> 3.7.4.2 </t>
  </si>
  <si>
    <t xml:space="preserve"> 3.7.4.3 </t>
  </si>
  <si>
    <t xml:space="preserve"> 3.7.4.4 </t>
  </si>
  <si>
    <t xml:space="preserve"> 3.7.5 </t>
  </si>
  <si>
    <t>RUA PROJETADA 06 "S6Q06Q23" (cód. log. 625)</t>
  </si>
  <si>
    <t xml:space="preserve"> 3.7.5.1 </t>
  </si>
  <si>
    <t xml:space="preserve"> 3.7.5.2 </t>
  </si>
  <si>
    <t xml:space="preserve"> 3.7.5.3 </t>
  </si>
  <si>
    <t xml:space="preserve"> 3.7.5.4 </t>
  </si>
  <si>
    <t xml:space="preserve"> 3.7.6 </t>
  </si>
  <si>
    <t>RUA PROJETADA 05 "S6Q23Q25" (cód. log.429)</t>
  </si>
  <si>
    <t xml:space="preserve"> 3.7.6.1 </t>
  </si>
  <si>
    <t xml:space="preserve"> 3.7.6.2 </t>
  </si>
  <si>
    <t xml:space="preserve"> 3.7.6.3 </t>
  </si>
  <si>
    <t xml:space="preserve"> 3.7.6.4 </t>
  </si>
  <si>
    <t xml:space="preserve"> 3.7.7 </t>
  </si>
  <si>
    <t xml:space="preserve"> 3.7.7.1 </t>
  </si>
  <si>
    <t xml:space="preserve"> 3.7.7.2 </t>
  </si>
  <si>
    <t xml:space="preserve"> 3.7.7.3 </t>
  </si>
  <si>
    <t xml:space="preserve"> 3.7.7.4 </t>
  </si>
  <si>
    <t xml:space="preserve"> 3.7.8 </t>
  </si>
  <si>
    <t>RUA PROJETADA 04 "S6Q28Q30" (cód. log. 426)</t>
  </si>
  <si>
    <t xml:space="preserve"> 3.7.8.1 </t>
  </si>
  <si>
    <t xml:space="preserve"> 3.7.8.2 </t>
  </si>
  <si>
    <t xml:space="preserve"> 3.7.8.3 </t>
  </si>
  <si>
    <t xml:space="preserve"> 3.7.8.4 </t>
  </si>
  <si>
    <t xml:space="preserve"> 3.7.9 </t>
  </si>
  <si>
    <t>RUA PROJETADA 03 "S6Q26Q28" (cód. log. 425)</t>
  </si>
  <si>
    <t xml:space="preserve"> 3.7.9.1 </t>
  </si>
  <si>
    <t xml:space="preserve"> 3.7.9.2 </t>
  </si>
  <si>
    <t xml:space="preserve"> 3.7.9.3 </t>
  </si>
  <si>
    <t xml:space="preserve"> 3.7.9.4 </t>
  </si>
  <si>
    <t xml:space="preserve"> 3.7.10 </t>
  </si>
  <si>
    <t xml:space="preserve"> 3.7.10.1 </t>
  </si>
  <si>
    <t xml:space="preserve"> 3.7.10.2 </t>
  </si>
  <si>
    <t xml:space="preserve"> 3.7.10.3 </t>
  </si>
  <si>
    <t xml:space="preserve"> 3.7.10.4 </t>
  </si>
  <si>
    <t xml:space="preserve"> 3.7.11 </t>
  </si>
  <si>
    <t xml:space="preserve"> 3.7.11.1 </t>
  </si>
  <si>
    <t xml:space="preserve"> 3.7.11.2 </t>
  </si>
  <si>
    <t xml:space="preserve"> 3.7.11.3 </t>
  </si>
  <si>
    <t xml:space="preserve"> 3.7.11.4 </t>
  </si>
  <si>
    <t xml:space="preserve"> 3.7.12 </t>
  </si>
  <si>
    <t xml:space="preserve"> 3.7.12.1 </t>
  </si>
  <si>
    <t xml:space="preserve"> 3.7.12.2 </t>
  </si>
  <si>
    <t xml:space="preserve"> 3.7.12.3 </t>
  </si>
  <si>
    <t xml:space="preserve"> 3.7.12.4 </t>
  </si>
  <si>
    <t xml:space="preserve"> 3.7.13 </t>
  </si>
  <si>
    <t>FRENTE DA ESCOLA ELIZETE BORBA</t>
  </si>
  <si>
    <t xml:space="preserve"> 3.7.13.1 </t>
  </si>
  <si>
    <t xml:space="preserve"> 3.7.13.2 </t>
  </si>
  <si>
    <t xml:space="preserve"> 3.7.13.3 </t>
  </si>
  <si>
    <t xml:space="preserve"> 3.7.13.4 </t>
  </si>
  <si>
    <t xml:space="preserve"> 3.8 </t>
  </si>
  <si>
    <t>BAIRRO DO ANTÃO</t>
  </si>
  <si>
    <t xml:space="preserve"> 3.8.1 </t>
  </si>
  <si>
    <t>RUA 06 "S6Q53" (cód. log. 904)</t>
  </si>
  <si>
    <t xml:space="preserve"> 3.8.1.1 </t>
  </si>
  <si>
    <t xml:space="preserve"> 3.8.1.2 </t>
  </si>
  <si>
    <t xml:space="preserve"> 3.8.1.3 </t>
  </si>
  <si>
    <t xml:space="preserve"> 3.8.1.4 </t>
  </si>
  <si>
    <t xml:space="preserve"> 3.8.2 </t>
  </si>
  <si>
    <t>RUA 03 "S6Q53Q56 (cód. log. 903)</t>
  </si>
  <si>
    <t xml:space="preserve"> 3.8.2.1 </t>
  </si>
  <si>
    <t xml:space="preserve"> 3.8.2.2 </t>
  </si>
  <si>
    <t xml:space="preserve"> 3.8.2.3 </t>
  </si>
  <si>
    <t xml:space="preserve"> 3.8.2.4 </t>
  </si>
  <si>
    <t xml:space="preserve"> 3.8.3 </t>
  </si>
  <si>
    <t>RUA SEM DENOMINAÇÃO - PERPENDICULAR as RUAS 06 "S6Q53" (cód. log. 904)  e 03 "S6Q53Q56 (cód. log. 903).</t>
  </si>
  <si>
    <t xml:space="preserve"> 3.8.3.1 </t>
  </si>
  <si>
    <t xml:space="preserve"> 3.8.3.2 </t>
  </si>
  <si>
    <t xml:space="preserve"> 3.8.3.3 </t>
  </si>
  <si>
    <t xml:space="preserve"> 3.8.3.4 </t>
  </si>
  <si>
    <t>Total Por Etapa</t>
  </si>
  <si>
    <t>30 DIAS</t>
  </si>
  <si>
    <t>60 DIAS</t>
  </si>
  <si>
    <t>90 DIAS</t>
  </si>
  <si>
    <t>120 DIAS</t>
  </si>
  <si>
    <t>150 DIAS</t>
  </si>
  <si>
    <t>180 DIAS</t>
  </si>
  <si>
    <t>210 DIAS</t>
  </si>
  <si>
    <t>240 DIAS</t>
  </si>
  <si>
    <t xml:space="preserve"> 12,50%
 5.445,70</t>
  </si>
  <si>
    <t xml:space="preserve"> 100,00%
 2.427,78</t>
  </si>
  <si>
    <t/>
  </si>
  <si>
    <t xml:space="preserve"> 87,25%</t>
  </si>
  <si>
    <t xml:space="preserve"> 100,0%</t>
  </si>
  <si>
    <t>( % )</t>
  </si>
  <si>
    <t>Porcentagem:</t>
  </si>
  <si>
    <t>Custo Mês:</t>
  </si>
  <si>
    <t>Porcentagem Acumulado:</t>
  </si>
  <si>
    <t>Custo Acumulado:</t>
  </si>
  <si>
    <t>PERÍODO (MÊS)</t>
  </si>
  <si>
    <r>
      <t xml:space="preserve">Obra: </t>
    </r>
    <r>
      <rPr>
        <sz val="11"/>
        <rFont val="Arial"/>
        <family val="2"/>
      </rPr>
      <t>PAVIMENTAÇÃO EM PEDRAS DE PARALELEPÍPEDOS GRANÍTICOS</t>
    </r>
  </si>
  <si>
    <r>
      <t xml:space="preserve">Município: </t>
    </r>
    <r>
      <rPr>
        <sz val="11"/>
        <rFont val="Arial"/>
        <family val="2"/>
      </rPr>
      <t>Toritama - PERNAMBUCO</t>
    </r>
  </si>
  <si>
    <r>
      <t>Endereço</t>
    </r>
    <r>
      <rPr>
        <sz val="11"/>
        <rFont val="Arial"/>
        <family val="2"/>
      </rPr>
      <t xml:space="preserve">: DIVERSAS RUAS DO MUNICÍPIO </t>
    </r>
    <r>
      <rPr>
        <b/>
        <u/>
        <sz val="11"/>
        <rFont val="Arial"/>
        <family val="2"/>
      </rPr>
      <t>(1º LOTE)</t>
    </r>
  </si>
  <si>
    <r>
      <t xml:space="preserve">DATA BASE DO ORÇAMENTO: </t>
    </r>
    <r>
      <rPr>
        <sz val="11"/>
        <rFont val="Arial"/>
        <family val="2"/>
      </rPr>
      <t>Abril/2022</t>
    </r>
  </si>
  <si>
    <t>SINAPI - 03/2022 - Pernambuco
SICRO3 - 01/2022 - Pernambuco
ORSE - 03/2022 - Sergipe</t>
  </si>
  <si>
    <t xml:space="preserve">Tabelas de Referência: </t>
  </si>
  <si>
    <t>B.D.I. =</t>
  </si>
  <si>
    <t xml:space="preserve">Encargos Sociais: </t>
  </si>
  <si>
    <t>SINAPI-C</t>
  </si>
  <si>
    <t>CAMINHÃO PIPA 10.000 L TRUCADO, PESO BRUTO TOTAL 23.000 KG, CARGA ÚTIL MÁXIMA 15.935 KG, DISTÂNCIA ENTRE EIXOS 4,8 M, POTÊNCIA 230 CV, INCLUSIVE TANQUE DE AÇO PARA TRANSPORTE DE ÁGUA - CHP DIURNO. AF_06/2014.</t>
  </si>
  <si>
    <t>5903</t>
  </si>
  <si>
    <t>CAMINHÃO PIPA 10.000 L TRUCADO, PESO BRUTO TOTAL 23.000 KG, CARGA ÚTIL MÁXIMA 15.935 KG, DISTÂNCIA ENTRE EIXOS 4,8 M, POTÊNCIA 230 CV, INCLUSIVE TANQUE DE AÇO PARA TRANSPORTE DE ÁGUA - CHI DIURNO. AF_06/2014.</t>
  </si>
  <si>
    <t>91533</t>
  </si>
  <si>
    <t>COMPACTADOR DE SOLOS DE PERCUSSÃO (SOQUETE) COM MOTOR A GASOLINA 4 TEMPOS, POTÊNCIA 4 CV - CHP DIURNO. AF_08/2015.</t>
  </si>
  <si>
    <t>91534</t>
  </si>
  <si>
    <t>COMPACTADOR DE SOLOS DE PERCUSSÃO (SOQUETE) COM MOTOR A GASOLINA 4 TEMPOS, POTÊNCIA 4 CV - CHI DIURNO. AF_08/2015.</t>
  </si>
  <si>
    <t>ATERRO C/ COMPACTAÇÃO MECÂNICA E CONTROLE, MATERIAL DE AQUISIÇÃO.</t>
  </si>
  <si>
    <t>ENCARGOS SOCIAIS:</t>
  </si>
  <si>
    <t>HORISTA = 113,83%</t>
  </si>
  <si>
    <t>MENSALISTA = 69,92%</t>
  </si>
  <si>
    <t>ESCORAMENTO CONTÍNUO DE MEIO-FIO, COM AQUISIÇÃO, ESPALHAMENTO E TRANSPORTE DE MATERIAL C/DISTANCIA ATÉ 10KM.</t>
  </si>
  <si>
    <t>REGULARIZAÇÃO DO SUBLEITO.</t>
  </si>
  <si>
    <t>PRÓPRIO</t>
  </si>
  <si>
    <t>CONSTRUÇÃO DO MURO DE CONTENÇÃO DA RUA JOSÉ MANOEL DA SILVA (cód. Log. 563) - trecho 2</t>
  </si>
  <si>
    <t>PEDRA ARGAMASSADA COM CIMENTO E AREIA 1:3 - AREIA E PEDRA DE MÃO COMERCIAL - FORNECIMENTO E ASSENTAMENTO.</t>
  </si>
  <si>
    <t>ANEXO-4        PLANILHA BÁSICA DE ORÇAMENTO</t>
  </si>
  <si>
    <t xml:space="preserve">Total Geral = </t>
  </si>
  <si>
    <t xml:space="preserve">(Três milhões, seiscentos e vinte mil, trezentos e treze reais e noventa e seis centavos)  </t>
  </si>
  <si>
    <t>SINAPI - 03/2022 - Pernambuco
SICRO3 - 01/2022 - Pernambuco
ORSE - 03/2022 - Sergipe                COMPOSIÇÕES PRÓPRIA - 01,02,03 e 04</t>
  </si>
  <si>
    <t xml:space="preserve"> 50,00%
 64.383,90</t>
  </si>
  <si>
    <t xml:space="preserve"> 50,00%
 16.112,77</t>
  </si>
  <si>
    <t xml:space="preserve"> 50,00%
 21.820,54</t>
  </si>
  <si>
    <t xml:space="preserve"> 50,00%
 24.457,48</t>
  </si>
  <si>
    <t xml:space="preserve"> 50,00%
 25.644,38</t>
  </si>
  <si>
    <t xml:space="preserve"> 50,00%
 28.508,06</t>
  </si>
  <si>
    <t xml:space="preserve"> 100,00%
 40.069,16</t>
  </si>
  <si>
    <t xml:space="preserve"> 100,00%
 27.993,00</t>
  </si>
  <si>
    <t xml:space="preserve"> 25,00%
 43.884,62</t>
  </si>
  <si>
    <t xml:space="preserve"> 25,00%
 45.428,47</t>
  </si>
  <si>
    <t xml:space="preserve"> 100,00%
 26.302,20</t>
  </si>
  <si>
    <t xml:space="preserve"> 100,00%
 25.081,72</t>
  </si>
  <si>
    <t xml:space="preserve"> 10,00%
 18.590,44</t>
  </si>
  <si>
    <t xml:space="preserve"> 30,00%
 55.771,32</t>
  </si>
  <si>
    <t xml:space="preserve"> 25,00%
 46.476,10</t>
  </si>
  <si>
    <t xml:space="preserve"> 25,00%
 106.405,57</t>
  </si>
  <si>
    <t xml:space="preserve"> 100,00%
 42.722,90</t>
  </si>
  <si>
    <t xml:space="preserve"> 30,00%
 17.518,19</t>
  </si>
  <si>
    <t xml:space="preserve"> 35,00%
 20.437,89</t>
  </si>
  <si>
    <t xml:space="preserve"> 50,00%
 23.018,63</t>
  </si>
  <si>
    <t xml:space="preserve"> 100,00%
 43.579,48</t>
  </si>
  <si>
    <t xml:space="preserve"> 100,00%
 40.136,34</t>
  </si>
  <si>
    <t xml:space="preserve"> 100,00%
 33.446,02</t>
  </si>
  <si>
    <t xml:space="preserve"> 50,00%
 17.971,50</t>
  </si>
  <si>
    <t xml:space="preserve"> 50,00%
 44.788,80</t>
  </si>
  <si>
    <t xml:space="preserve"> 100,00%
 24.544,24</t>
  </si>
  <si>
    <t xml:space="preserve"> 100,00%
 50.796,07</t>
  </si>
  <si>
    <t xml:space="preserve"> 50,00%
 25.398,04</t>
  </si>
  <si>
    <t xml:space="preserve"> 100,00%
 24.824,17</t>
  </si>
  <si>
    <t xml:space="preserve"> 30,00%
 40.762,79</t>
  </si>
  <si>
    <t xml:space="preserve"> 40,00%
 54.350,39</t>
  </si>
  <si>
    <t xml:space="preserve"> 50,00%
 30.697,12</t>
  </si>
  <si>
    <t xml:space="preserve"> 50,00%
 23.903,22</t>
  </si>
  <si>
    <t xml:space="preserve"> 50,00%
 29.742,56</t>
  </si>
  <si>
    <t xml:space="preserve"> 30,00%
 19.738,42</t>
  </si>
  <si>
    <t xml:space="preserve"> 40,00%
 26.317,89</t>
  </si>
  <si>
    <t xml:space="preserve"> 25,00%
 39.626,89</t>
  </si>
  <si>
    <t xml:space="preserve"> 15,00%
 26.873,28</t>
  </si>
  <si>
    <t xml:space="preserve"> 25,00%
 44.788,80</t>
  </si>
  <si>
    <t xml:space="preserve"> 40,00%
 71.662,08</t>
  </si>
  <si>
    <t xml:space="preserve"> 20,00%
 35.831,04</t>
  </si>
  <si>
    <t xml:space="preserve"> 50,00%
 26.442,18</t>
  </si>
  <si>
    <t xml:space="preserve"> 25,00%
 13.221,09</t>
  </si>
  <si>
    <t xml:space="preserve"> 50,00%
 31.791,64</t>
  </si>
  <si>
    <t xml:space="preserve"> 50,00%
 33.611,19</t>
  </si>
  <si>
    <t xml:space="preserve"> 25,00%
 16.805,59</t>
  </si>
  <si>
    <t xml:space="preserve"> 30,00%
 22.985,05</t>
  </si>
  <si>
    <t xml:space="preserve"> 35,00%
 26.815,89</t>
  </si>
  <si>
    <t xml:space="preserve"> 25,00%
 24.454,68</t>
  </si>
  <si>
    <t xml:space="preserve"> 50,00%
 26.416,99</t>
  </si>
  <si>
    <t xml:space="preserve"> 15,00%
 26.066,24</t>
  </si>
  <si>
    <t xml:space="preserve"> 25,00%
 43.443,73</t>
  </si>
  <si>
    <t xml:space="preserve"> 10,00%
 17.377,49</t>
  </si>
  <si>
    <t xml:space="preserve"> 50,00%
 26.277,03</t>
  </si>
  <si>
    <t xml:space="preserve"> 100,00%
 9.965,50</t>
  </si>
  <si>
    <t xml:space="preserve"> 30,00%
 19.990,36</t>
  </si>
  <si>
    <t xml:space="preserve"> 35,00%
 23.322,08</t>
  </si>
  <si>
    <t xml:space="preserve"> 100,00%
 33.591,60</t>
  </si>
  <si>
    <t xml:space="preserve"> 100,00%
 34.464,90</t>
  </si>
  <si>
    <t xml:space="preserve"> 100,00%
 26.296,61</t>
  </si>
  <si>
    <t xml:space="preserve"> 4,98%</t>
  </si>
  <si>
    <t xml:space="preserve"> 5,96%</t>
  </si>
  <si>
    <t xml:space="preserve"> 13,47%</t>
  </si>
  <si>
    <t xml:space="preserve"> 21,89%</t>
  </si>
  <si>
    <t xml:space="preserve"> 20,85%</t>
  </si>
  <si>
    <t xml:space="preserve"> 20,11%</t>
  </si>
  <si>
    <t xml:space="preserve"> 9,33%</t>
  </si>
  <si>
    <t xml:space="preserve"> 3,42%</t>
  </si>
  <si>
    <t xml:space="preserve"> 180.160,92</t>
  </si>
  <si>
    <t xml:space="preserve"> 215.666,44</t>
  </si>
  <si>
    <t xml:space="preserve"> 487.508,34</t>
  </si>
  <si>
    <t xml:space="preserve"> 792.464,36</t>
  </si>
  <si>
    <t xml:space="preserve"> 754.904,37</t>
  </si>
  <si>
    <t xml:space="preserve"> 728.054,30</t>
  </si>
  <si>
    <t xml:space="preserve"> 337.842,79</t>
  </si>
  <si>
    <t xml:space="preserve"> 123.712,46</t>
  </si>
  <si>
    <t xml:space="preserve"> 10,93%</t>
  </si>
  <si>
    <t xml:space="preserve"> 24,4%</t>
  </si>
  <si>
    <t xml:space="preserve"> 46,29%</t>
  </si>
  <si>
    <t xml:space="preserve"> 67,14%</t>
  </si>
  <si>
    <t xml:space="preserve"> 96,58%</t>
  </si>
  <si>
    <t xml:space="preserve"> 180.160,91</t>
  </si>
  <si>
    <t xml:space="preserve"> 395.827,35</t>
  </si>
  <si>
    <t xml:space="preserve"> 883.335,69</t>
  </si>
  <si>
    <t xml:space="preserve"> 1.675.800,05</t>
  </si>
  <si>
    <t xml:space="preserve"> 2.430.704,42</t>
  </si>
  <si>
    <t xml:space="preserve"> 3.158.758,71</t>
  </si>
  <si>
    <t xml:space="preserve"> 3.496.601,50</t>
  </si>
  <si>
    <t xml:space="preserve"> 3.620.313,96</t>
  </si>
  <si>
    <t>ANEXO-5        CRONOGRAMA FÍSICO E FINANCEIRO</t>
  </si>
  <si>
    <t>HORISTA = 113,39%              MENSALISTA = 69,76%</t>
  </si>
  <si>
    <t>ANEXO-6 ENCARGOS SOCIAIS DE REFERÊNCIA</t>
  </si>
  <si>
    <t>ANEXO-7 ITENS DE MAIOR RELEVÂNCIA</t>
  </si>
  <si>
    <t>DISCRIMINAÇÃO DOS SERVIÇOS</t>
  </si>
  <si>
    <t>UNID.</t>
  </si>
  <si>
    <t>QUANT.</t>
  </si>
  <si>
    <t>PREÇO TOTAL COM BDI</t>
  </si>
  <si>
    <t>% POR ITEM</t>
  </si>
  <si>
    <t>% ACUMULADO</t>
  </si>
  <si>
    <t xml:space="preserve">V.T.ESTIMADO = </t>
  </si>
  <si>
    <t>SOLICITAÇÃO DE COMPROVAÇÃO MINÍMA TÉCNICA-OPERACIONAL</t>
  </si>
  <si>
    <t>UNITÁRIO</t>
  </si>
  <si>
    <t>SOLICITAÇÃO DE COMPROVAÇÃO TÉCNICA-PROFISSIONAL (CAT)</t>
  </si>
  <si>
    <t>Conforme Decisão do TCU (Acórdão nº 1.052/2012-Plenário): “abstenha-se de exigir número mínimo de atestados de capacidade técnica, bem como a fixação de quantitativo mínimo nesses atestados superior a 50% (...) dos quantitativos dos bens e serviços que se pretende contratar, a não ser que a especificidade do objeto o recomende, situação em que os motivos de fato e de direito deverão estar devidamente explicitados no processo administrativo da licitação”.</t>
  </si>
  <si>
    <r>
      <t xml:space="preserve">Obra: </t>
    </r>
    <r>
      <rPr>
        <sz val="10"/>
        <rFont val="Arial"/>
        <family val="2"/>
      </rPr>
      <t>PAVIMENTAÇÃO EM PEDRAS DE PARALELEPÍPEDOS GRANÍTICOS</t>
    </r>
  </si>
  <si>
    <r>
      <t xml:space="preserve">Município: </t>
    </r>
    <r>
      <rPr>
        <sz val="10"/>
        <rFont val="Arial"/>
        <family val="2"/>
      </rPr>
      <t>Toritama - PERNAMBUCO</t>
    </r>
  </si>
  <si>
    <r>
      <t xml:space="preserve">DATA BASE DO ORÇAMENTO: </t>
    </r>
    <r>
      <rPr>
        <sz val="10"/>
        <rFont val="Arial"/>
        <family val="2"/>
      </rPr>
      <t>Abril/2022</t>
    </r>
  </si>
  <si>
    <r>
      <t>Endereço</t>
    </r>
    <r>
      <rPr>
        <sz val="10"/>
        <rFont val="Arial"/>
        <family val="2"/>
      </rPr>
      <t xml:space="preserve">: DIVERSAS RUAS DO MUNICÍPIO </t>
    </r>
    <r>
      <rPr>
        <b/>
        <u/>
        <sz val="10"/>
        <rFont val="Arial"/>
        <family val="2"/>
      </rPr>
      <t>(1º LOTE)</t>
    </r>
  </si>
  <si>
    <t>a</t>
  </si>
  <si>
    <t>b</t>
  </si>
  <si>
    <t xml:space="preserve">SINAPI - 03/2022 - Pernambuco
SICRO3 - 01/2022 - Pernambuco
ORSE - 03/2022 - Sergipe                </t>
  </si>
  <si>
    <t>NOTA TÉCNICA:</t>
  </si>
  <si>
    <r>
      <t xml:space="preserve">1 - OS SERVIÇIS PREVISTOS NESETE CRONOGRAMA FÍSICO E FINANCEIRO, ESTÃO PREVISTOS PARA SEREM EXECUTADOS DE FORMA </t>
    </r>
    <r>
      <rPr>
        <b/>
        <sz val="11"/>
        <color theme="1"/>
        <rFont val="Calibri"/>
        <family val="2"/>
        <scheme val="minor"/>
      </rPr>
      <t>SIMULTANEA</t>
    </r>
    <r>
      <rPr>
        <sz val="11"/>
        <color theme="1"/>
        <rFont val="Calibri"/>
        <family val="2"/>
        <scheme val="minor"/>
      </rPr>
      <t xml:space="preserve"> A EMPRESA CONTRATADA, DEVERAM FAZER A GESTÃO DAS ATIVIDADES DE FORMA A DISTRIBUIR EQUIPES TRABALHANDO EM TODAS AS FRENTES DE OBRAS AO MESMO TEMPO;</t>
    </r>
  </si>
  <si>
    <t>Calceteiro:</t>
  </si>
  <si>
    <t>Servente:</t>
  </si>
  <si>
    <t>h</t>
  </si>
  <si>
    <t>Guias (meio fio):</t>
  </si>
  <si>
    <t>Pavimento (paralelepípedos):</t>
  </si>
  <si>
    <t>2- A DISTRIBUIÇÃO DOS PRAZOS DE EXECUÇÃO NO CRONOGRAMA FÍSICO E FINANCEIRO, FORAM CALCULADOS DE ACORDO COM O COEFICIENTE DE PRODUÇÃO DA MÃO DE OBRA DAS COMPOSIÇÕES DE CADA SERVIÇO, LEVANDO EM CONSIDERAÇÃO QUE OS SERVIÇOS SERÃO EXECUTADOS SIMULTANEAMENTE EM TODOS OS BAIRROS CONTEMPLADOS NESTE PROJETO;</t>
  </si>
  <si>
    <t>3-SUGESTÃO DE EQUIPE PARA ATENDIMENTO SIMULTANEO DOS SERVIÇOS DE ACORDO COM OS COEFICIENTES DE PRODUÇÃO:</t>
  </si>
  <si>
    <t>*Equipe para os serviços de pavimentação em pedras de paralelepípedos:</t>
  </si>
  <si>
    <t xml:space="preserve">  Guias (meio fio) de concreto:</t>
  </si>
  <si>
    <t xml:space="preserve">  Total de guias (meio fio) = 12.035,48m </t>
  </si>
  <si>
    <t xml:space="preserve">  Coeficientes de produção:</t>
  </si>
  <si>
    <t>a) Servente = 0,394h/m</t>
  </si>
  <si>
    <t>b) Pedreiro/Calceteiro = 0,394h/m</t>
  </si>
  <si>
    <t>totais</t>
  </si>
  <si>
    <t>hora</t>
  </si>
  <si>
    <t>dias</t>
  </si>
  <si>
    <t>mês</t>
  </si>
  <si>
    <t>mês/cron</t>
  </si>
  <si>
    <t>equipe</t>
  </si>
  <si>
    <r>
      <t xml:space="preserve">  Logo: (12.035,48m*0,394h)/8)/22) = 26,94 meses/8</t>
    </r>
    <r>
      <rPr>
        <vertAlign val="superscript"/>
        <sz val="11"/>
        <color theme="1"/>
        <rFont val="Calibri"/>
        <family val="2"/>
        <scheme val="minor"/>
      </rPr>
      <t xml:space="preserve">1 </t>
    </r>
    <r>
      <rPr>
        <sz val="11"/>
        <color theme="1"/>
        <rFont val="Calibri"/>
        <family val="2"/>
        <scheme val="minor"/>
      </rPr>
      <t xml:space="preserve">/6 = 0,56 operário </t>
    </r>
  </si>
  <si>
    <t>6 : Tamanho da equipe sugeriada para atendimento dos serviços de forma simultanea</t>
  </si>
  <si>
    <t xml:space="preserve">  Pavimento (paralelepípedo) granítico:</t>
  </si>
  <si>
    <t xml:space="preserve">  Total de guias (meio fio) = 37.103,37m² </t>
  </si>
  <si>
    <t>a) Servente = 0,4021h/m</t>
  </si>
  <si>
    <t>b) Calceteiro = 0,4021h/m</t>
  </si>
  <si>
    <r>
      <t xml:space="preserve">  Logo: (37.103,37m*0,4021h)/8)/22) = 84,77 meses/8</t>
    </r>
    <r>
      <rPr>
        <vertAlign val="superscript"/>
        <sz val="11"/>
        <color theme="1"/>
        <rFont val="Calibri"/>
        <family val="2"/>
        <scheme val="minor"/>
      </rPr>
      <t xml:space="preserve">1 </t>
    </r>
    <r>
      <rPr>
        <sz val="11"/>
        <color theme="1"/>
        <rFont val="Calibri"/>
        <family val="2"/>
        <scheme val="minor"/>
      </rPr>
      <t xml:space="preserve">/6 = 1,77 operário </t>
    </r>
  </si>
  <si>
    <t>DESTA FORMA A SUGESTÃO PARA COMPOSIÇÃO DAS EQUIPES DE ACORDO COM OS CÁLCULOS APRESENTADOS ACIMA É DE:</t>
  </si>
  <si>
    <t xml:space="preserve">→ 1 (uma) Equipe: 3  Servente + 3  Calceteiro = 6 operarários por equipe </t>
  </si>
  <si>
    <r>
      <rPr>
        <sz val="11"/>
        <color theme="1"/>
        <rFont val="Calibri"/>
        <family val="2"/>
      </rPr>
      <t>→ 6 (seis) Equipes para atender todos os serviços de pavimentação (</t>
    </r>
    <r>
      <rPr>
        <b/>
        <sz val="11"/>
        <color theme="1"/>
        <rFont val="Calibri"/>
        <family val="2"/>
      </rPr>
      <t>NO MINÍMO</t>
    </r>
    <r>
      <rPr>
        <sz val="11"/>
        <color theme="1"/>
        <rFont val="Calibri"/>
        <family val="2"/>
      </rPr>
      <t>)</t>
    </r>
  </si>
  <si>
    <r>
      <t>8</t>
    </r>
    <r>
      <rPr>
        <i/>
        <vertAlign val="superscript"/>
        <sz val="11"/>
        <color theme="1"/>
        <rFont val="Calibri"/>
        <family val="2"/>
        <scheme val="minor"/>
      </rPr>
      <t xml:space="preserve">1 </t>
    </r>
    <r>
      <rPr>
        <i/>
        <sz val="11"/>
        <color theme="1"/>
        <rFont val="Calibri"/>
        <family val="2"/>
        <scheme val="minor"/>
      </rPr>
      <t>: Período total previsto para execução das obras</t>
    </r>
  </si>
  <si>
    <t>1 - TODAS AS COMPOSIÇÕES CRIADAS, TIVERAM COMO BASE OS COEFICIENTES DE PRODUÇÃO DO BANCO DE DADOS DO SINPI, A PARTIR DE COMPOSIÇÕES SEMELHANTES, TENDO SEUS INSUMOS ADEQUADOS PARA MELHOR ATENDE AS NECESSIDADES DO PROJETO EM TELA.</t>
  </si>
  <si>
    <t>2 - TODAS AS PEÇAS CORRESPONDENTES A FORMA DA PLANILHA BÁSICA DE ORÇAMENTO PARA ESTA OBRA, FORAM DESENVOLVIDAS ATRAVES DO SOFT "ORÇAFÁCIL" QUE REALIZA TODOS OS CÁLCULOS E ARREDONDAMENTOS DE ACORDO COM AS RECOMENDAÇÕES DO TCU E LEGISLAÇÔES EM VIGOR DOS ORGÃOS DE CONTROLE.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</si>
</sst>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_(&quot;R$ &quot;* #,##0.00_);_(&quot;R$ &quot;* \(#,##0.00\);_(&quot;R$ &quot;* \-??_);_(@_)"/>
    <numFmt numFmtId="165" formatCode="General;General"/>
    <numFmt numFmtId="166" formatCode="[$-F800]dddd\,\ mmmm\ dd\,\ yyyy"/>
    <numFmt numFmtId="167" formatCode="dd&quot; de &quot;mmmm&quot; de &quot;yyyy"/>
    <numFmt numFmtId="168" formatCode="&quot;R$&quot;\ #,##0.00"/>
    <numFmt numFmtId="169" formatCode="0.000000"/>
    <numFmt numFmtId="170" formatCode="#,##0.000000"/>
    <numFmt numFmtId="171" formatCode="#,##0.0000000"/>
    <numFmt numFmtId="172" formatCode="#,##0.00\ %"/>
  </numFmts>
  <fonts count="52"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4"/>
      <name val="Arial"/>
      <family val="2"/>
    </font>
    <font>
      <b/>
      <sz val="8"/>
      <color theme="1"/>
      <name val="Arial"/>
      <family val="2"/>
    </font>
    <font>
      <sz val="8"/>
      <color theme="1"/>
      <name val="Arial"/>
      <family val="2"/>
    </font>
    <font>
      <b/>
      <u/>
      <sz val="8"/>
      <name val="Arial"/>
      <family val="2"/>
    </font>
    <font>
      <b/>
      <sz val="10"/>
      <name val="Arial"/>
      <family val="2"/>
    </font>
    <font>
      <sz val="8"/>
      <name val="Calibri"/>
      <family val="2"/>
      <scheme val="minor"/>
    </font>
    <font>
      <b/>
      <sz val="12"/>
      <name val="Arial"/>
      <family val="2"/>
    </font>
    <font>
      <b/>
      <sz val="10"/>
      <color indexed="12"/>
      <name val="Arial"/>
      <family val="2"/>
    </font>
    <font>
      <sz val="9"/>
      <name val="Arial"/>
      <family val="2"/>
    </font>
    <font>
      <sz val="10"/>
      <name val="Calibri"/>
      <family val="2"/>
    </font>
    <font>
      <sz val="8"/>
      <name val="Calibri"/>
      <family val="2"/>
    </font>
    <font>
      <b/>
      <sz val="11"/>
      <name val="Arial"/>
      <family val="2"/>
    </font>
    <font>
      <sz val="11"/>
      <name val="Arial"/>
      <family val="2"/>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b/>
      <sz val="9"/>
      <color indexed="8"/>
      <name val="Tahoma"/>
      <family val="2"/>
    </font>
    <font>
      <sz val="9"/>
      <color indexed="8"/>
      <name val="Tahoma"/>
      <family val="2"/>
    </font>
    <font>
      <b/>
      <sz val="8"/>
      <color indexed="8"/>
      <name val="Arial"/>
      <family val="2"/>
    </font>
    <font>
      <sz val="8"/>
      <color indexed="8"/>
      <name val="Arial"/>
      <family val="2"/>
    </font>
    <font>
      <sz val="11"/>
      <color rgb="FF000000"/>
      <name val="Calibri"/>
      <family val="2"/>
    </font>
    <font>
      <b/>
      <sz val="11"/>
      <name val="Arial"/>
      <family val="1"/>
    </font>
    <font>
      <b/>
      <sz val="10"/>
      <name val="Arial"/>
      <family val="1"/>
    </font>
    <font>
      <b/>
      <sz val="10"/>
      <color rgb="FF000000"/>
      <name val="Arial"/>
      <family val="1"/>
    </font>
    <font>
      <sz val="10"/>
      <color rgb="FF000000"/>
      <name val="Arial"/>
      <family val="1"/>
    </font>
    <font>
      <sz val="10"/>
      <name val="Arial"/>
      <family val="1"/>
    </font>
    <font>
      <sz val="11"/>
      <color theme="1"/>
      <name val="Arial"/>
      <family val="2"/>
    </font>
    <font>
      <b/>
      <sz val="11"/>
      <color theme="1"/>
      <name val="Arial"/>
      <family val="2"/>
    </font>
    <font>
      <b/>
      <u/>
      <sz val="11"/>
      <name val="Arial"/>
      <family val="2"/>
    </font>
    <font>
      <b/>
      <sz val="11"/>
      <color theme="1"/>
      <name val="Calibri"/>
      <family val="2"/>
      <scheme val="minor"/>
    </font>
    <font>
      <b/>
      <sz val="16"/>
      <name val="Arial"/>
      <family val="2"/>
    </font>
    <font>
      <b/>
      <sz val="9"/>
      <name val="Arial"/>
      <family val="2"/>
    </font>
    <font>
      <sz val="9"/>
      <color theme="1"/>
      <name val="Arial"/>
      <family val="2"/>
    </font>
    <font>
      <b/>
      <sz val="9"/>
      <color theme="1"/>
      <name val="Arial"/>
      <family val="2"/>
    </font>
    <font>
      <b/>
      <u/>
      <sz val="10"/>
      <name val="Arial"/>
      <family val="2"/>
    </font>
    <font>
      <sz val="10"/>
      <color theme="1"/>
      <name val="Calibri"/>
      <family val="2"/>
      <scheme val="minor"/>
    </font>
    <font>
      <sz val="10"/>
      <color theme="1"/>
      <name val="Arial"/>
      <family val="2"/>
    </font>
    <font>
      <vertAlign val="superscript"/>
      <sz val="11"/>
      <color theme="1"/>
      <name val="Calibri"/>
      <family val="2"/>
      <scheme val="minor"/>
    </font>
    <font>
      <b/>
      <u/>
      <sz val="11"/>
      <color theme="1"/>
      <name val="Calibri"/>
      <family val="2"/>
      <scheme val="minor"/>
    </font>
    <font>
      <sz val="11"/>
      <color theme="1"/>
      <name val="Calibri"/>
      <family val="2"/>
    </font>
    <font>
      <b/>
      <sz val="11"/>
      <color theme="1"/>
      <name val="Calibri"/>
      <family val="2"/>
    </font>
    <font>
      <i/>
      <sz val="11"/>
      <color theme="1"/>
      <name val="Calibri"/>
      <family val="2"/>
      <scheme val="minor"/>
    </font>
    <font>
      <i/>
      <vertAlign val="superscript"/>
      <sz val="11"/>
      <color theme="1"/>
      <name val="Calibri"/>
      <family val="2"/>
      <scheme val="minor"/>
    </font>
    <font>
      <b/>
      <sz val="9"/>
      <color theme="1"/>
      <name val="Calibri"/>
      <family val="2"/>
      <scheme val="minor"/>
    </font>
    <font>
      <sz val="9"/>
      <color theme="1"/>
      <name val="Calibri"/>
      <family val="2"/>
      <scheme val="minor"/>
    </font>
  </fonts>
  <fills count="16">
    <fill>
      <patternFill patternType="none"/>
    </fill>
    <fill>
      <patternFill patternType="gray125"/>
    </fill>
    <fill>
      <patternFill patternType="solid">
        <fgColor rgb="FF99FF99"/>
        <bgColor indexed="64"/>
      </patternFill>
    </fill>
    <fill>
      <patternFill patternType="solid">
        <fgColor rgb="FF00B050"/>
        <bgColor indexed="64"/>
      </patternFill>
    </fill>
    <fill>
      <patternFill patternType="solid">
        <fgColor rgb="FFFFFF99"/>
        <bgColor indexed="64"/>
      </patternFill>
    </fill>
    <fill>
      <patternFill patternType="solid">
        <fgColor indexed="43"/>
        <bgColor indexed="26"/>
      </patternFill>
    </fill>
    <fill>
      <patternFill patternType="solid">
        <fgColor indexed="31"/>
        <bgColor indexed="42"/>
      </patternFill>
    </fill>
    <fill>
      <patternFill patternType="solid">
        <fgColor indexed="22"/>
        <bgColor indexed="44"/>
      </patternFill>
    </fill>
    <fill>
      <patternFill patternType="solid">
        <fgColor theme="0" tint="-0.14999847407452621"/>
        <bgColor indexed="64"/>
      </patternFill>
    </fill>
    <fill>
      <patternFill patternType="solid">
        <fgColor indexed="9"/>
        <bgColor indexed="8"/>
      </patternFill>
    </fill>
    <fill>
      <patternFill patternType="solid">
        <fgColor rgb="FFFFFFFF"/>
      </patternFill>
    </fill>
    <fill>
      <patternFill patternType="solid">
        <fgColor rgb="FFD8ECF6"/>
      </patternFill>
    </fill>
    <fill>
      <patternFill patternType="solid">
        <fgColor theme="8" tint="0.79998168889431442"/>
        <bgColor indexed="64"/>
      </patternFill>
    </fill>
    <fill>
      <patternFill patternType="solid">
        <fgColor theme="7" tint="0.59999389629810485"/>
        <bgColor indexed="64"/>
      </patternFill>
    </fill>
    <fill>
      <patternFill patternType="solid">
        <fgColor rgb="FFDFF0D8"/>
      </patternFill>
    </fill>
    <fill>
      <patternFill patternType="solid">
        <fgColor rgb="FF66FF66"/>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right/>
      <top/>
      <bottom style="thick">
        <color rgb="FFFF5500"/>
      </bottom>
      <diagonal/>
    </border>
    <border>
      <left/>
      <right/>
      <top style="medium">
        <color indexed="64"/>
      </top>
      <bottom style="thick">
        <color rgb="FFFF5500"/>
      </bottom>
      <diagonal/>
    </border>
    <border>
      <left/>
      <right style="medium">
        <color indexed="64"/>
      </right>
      <top style="medium">
        <color indexed="64"/>
      </top>
      <bottom style="thick">
        <color rgb="FFFF5500"/>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bottom style="thick">
        <color rgb="FFFF5500"/>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thick">
        <color rgb="FFFF5500"/>
      </top>
      <bottom style="thin">
        <color auto="1"/>
      </bottom>
      <diagonal/>
    </border>
    <border>
      <left/>
      <right/>
      <top style="thick">
        <color rgb="FFFF5500"/>
      </top>
      <bottom style="thin">
        <color auto="1"/>
      </bottom>
      <diagonal/>
    </border>
    <border>
      <left/>
      <right style="medium">
        <color indexed="64"/>
      </right>
      <top style="thick">
        <color rgb="FFFF5500"/>
      </top>
      <bottom style="thin">
        <color auto="1"/>
      </bottom>
      <diagonal/>
    </border>
    <border>
      <left/>
      <right style="thin">
        <color auto="1"/>
      </right>
      <top style="thick">
        <color rgb="FFFF5500"/>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3" fillId="0" borderId="0"/>
    <xf numFmtId="164" fontId="2" fillId="0" borderId="0" applyFill="0" applyBorder="0" applyAlignment="0" applyProtection="0"/>
    <xf numFmtId="0" fontId="27" fillId="0" borderId="0"/>
  </cellStyleXfs>
  <cellXfs count="552">
    <xf numFmtId="0" fontId="0" fillId="0" borderId="0" xfId="0"/>
    <xf numFmtId="0" fontId="3" fillId="0" borderId="0" xfId="4"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vertical="center" wrapText="1"/>
    </xf>
    <xf numFmtId="43" fontId="4" fillId="0" borderId="0" xfId="1" applyFont="1" applyFill="1" applyBorder="1" applyAlignment="1">
      <alignment horizontal="center" vertical="center" wrapText="1"/>
    </xf>
    <xf numFmtId="10" fontId="3" fillId="0" borderId="0" xfId="3" applyNumberFormat="1" applyFont="1" applyFill="1" applyBorder="1" applyAlignment="1">
      <alignment horizontal="left" vertical="center" wrapText="1"/>
    </xf>
    <xf numFmtId="44" fontId="3" fillId="0" borderId="0" xfId="2" applyFont="1" applyFill="1" applyBorder="1" applyAlignment="1">
      <alignment horizontal="center" vertical="center" wrapText="1"/>
    </xf>
    <xf numFmtId="10" fontId="3" fillId="0" borderId="0" xfId="3" applyNumberFormat="1" applyFont="1" applyFill="1" applyBorder="1" applyAlignment="1">
      <alignment horizontal="left" vertical="center"/>
    </xf>
    <xf numFmtId="0" fontId="4" fillId="0" borderId="0" xfId="1" applyNumberFormat="1" applyFont="1" applyFill="1" applyBorder="1" applyAlignment="1">
      <alignment horizontal="center" vertical="center" wrapText="1"/>
    </xf>
    <xf numFmtId="0" fontId="3" fillId="0" borderId="0" xfId="4" applyFont="1" applyAlignment="1">
      <alignment horizontal="center"/>
    </xf>
    <xf numFmtId="0" fontId="3" fillId="0" borderId="0" xfId="4" applyFont="1" applyAlignment="1">
      <alignment horizontal="left" vertical="center" wrapText="1"/>
    </xf>
    <xf numFmtId="0" fontId="3" fillId="0" borderId="0" xfId="0" applyFont="1" applyAlignment="1">
      <alignment horizontal="center" vertical="center"/>
    </xf>
    <xf numFmtId="49" fontId="3" fillId="3" borderId="5" xfId="4" applyNumberFormat="1" applyFont="1" applyFill="1" applyBorder="1" applyAlignment="1">
      <alignment horizontal="center" vertical="center"/>
    </xf>
    <xf numFmtId="49" fontId="3" fillId="3" borderId="5" xfId="4" applyNumberFormat="1" applyFont="1" applyFill="1" applyBorder="1" applyAlignment="1">
      <alignment horizontal="left" vertical="center" wrapText="1"/>
    </xf>
    <xf numFmtId="0" fontId="6" fillId="3" borderId="5" xfId="0" applyFont="1" applyFill="1" applyBorder="1" applyAlignment="1">
      <alignment horizontal="center" vertical="center"/>
    </xf>
    <xf numFmtId="0" fontId="3" fillId="3" borderId="5" xfId="0" quotePrefix="1" applyFont="1" applyFill="1" applyBorder="1" applyAlignment="1">
      <alignment horizontal="center" vertical="center"/>
    </xf>
    <xf numFmtId="2" fontId="3" fillId="3" borderId="5"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49" fontId="3" fillId="2" borderId="6" xfId="4" applyNumberFormat="1" applyFont="1" applyFill="1" applyBorder="1" applyAlignment="1">
      <alignment horizontal="center" vertical="center"/>
    </xf>
    <xf numFmtId="49" fontId="3" fillId="2" borderId="7" xfId="4" applyNumberFormat="1" applyFont="1" applyFill="1" applyBorder="1" applyAlignment="1">
      <alignment horizontal="center" vertical="center"/>
    </xf>
    <xf numFmtId="49" fontId="3" fillId="2" borderId="7" xfId="4" applyNumberFormat="1" applyFont="1" applyFill="1" applyBorder="1" applyAlignment="1">
      <alignment horizontal="left" vertical="center" wrapText="1"/>
    </xf>
    <xf numFmtId="0" fontId="4" fillId="2" borderId="7" xfId="0" quotePrefix="1" applyFont="1" applyFill="1" applyBorder="1" applyAlignment="1">
      <alignment horizontal="center" vertical="center"/>
    </xf>
    <xf numFmtId="2" fontId="4" fillId="2" borderId="7"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2" borderId="8" xfId="0" applyNumberFormat="1" applyFont="1" applyFill="1" applyBorder="1" applyAlignment="1">
      <alignment horizontal="center" vertical="center" wrapText="1"/>
    </xf>
    <xf numFmtId="49" fontId="4" fillId="0" borderId="9" xfId="4" applyNumberFormat="1" applyFont="1" applyBorder="1" applyAlignment="1">
      <alignment horizontal="center" vertical="center"/>
    </xf>
    <xf numFmtId="49" fontId="4" fillId="0" borderId="1" xfId="4" applyNumberFormat="1" applyFont="1" applyBorder="1" applyAlignment="1">
      <alignment horizontal="center" vertical="center"/>
    </xf>
    <xf numFmtId="49" fontId="4" fillId="0" borderId="1" xfId="4" applyNumberFormat="1" applyFont="1" applyBorder="1" applyAlignment="1">
      <alignment horizontal="left" vertical="center" wrapText="1"/>
    </xf>
    <xf numFmtId="0" fontId="7" fillId="0" borderId="1" xfId="0" applyFont="1" applyBorder="1" applyAlignment="1">
      <alignment horizontal="center" vertical="center"/>
    </xf>
    <xf numFmtId="0" fontId="4" fillId="0" borderId="1" xfId="0" quotePrefix="1" applyFont="1" applyBorder="1" applyAlignment="1">
      <alignment horizontal="center" vertical="center"/>
    </xf>
    <xf numFmtId="2"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3" fontId="3" fillId="0" borderId="10" xfId="1" applyFont="1" applyFill="1" applyBorder="1" applyAlignment="1">
      <alignment horizontal="center" vertical="center" wrapText="1"/>
    </xf>
    <xf numFmtId="49" fontId="4" fillId="0" borderId="1" xfId="4"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9" fontId="3" fillId="2" borderId="9" xfId="4" applyNumberFormat="1" applyFont="1" applyFill="1" applyBorder="1" applyAlignment="1">
      <alignment horizontal="center" vertical="center"/>
    </xf>
    <xf numFmtId="49" fontId="3" fillId="2" borderId="1" xfId="4" applyNumberFormat="1" applyFont="1" applyFill="1" applyBorder="1" applyAlignment="1">
      <alignment horizontal="center" vertical="center"/>
    </xf>
    <xf numFmtId="49" fontId="3" fillId="2" borderId="1" xfId="4" applyNumberFormat="1" applyFont="1" applyFill="1" applyBorder="1" applyAlignment="1">
      <alignment horizontal="center" vertical="center" wrapText="1"/>
    </xf>
    <xf numFmtId="49" fontId="3" fillId="2" borderId="1" xfId="4" applyNumberFormat="1" applyFont="1" applyFill="1" applyBorder="1" applyAlignment="1">
      <alignment horizontal="left" vertical="center" wrapText="1"/>
    </xf>
    <xf numFmtId="43" fontId="4" fillId="2" borderId="1" xfId="1" applyFont="1" applyFill="1" applyBorder="1" applyAlignment="1">
      <alignment vertical="center"/>
    </xf>
    <xf numFmtId="43" fontId="3" fillId="2" borderId="10" xfId="1" applyFont="1" applyFill="1" applyBorder="1" applyAlignment="1">
      <alignment vertical="center"/>
    </xf>
    <xf numFmtId="43" fontId="4" fillId="0" borderId="1" xfId="1" applyFont="1" applyFill="1" applyBorder="1" applyAlignment="1">
      <alignment vertical="center"/>
    </xf>
    <xf numFmtId="43" fontId="3" fillId="0" borderId="10" xfId="1" applyFont="1" applyFill="1" applyBorder="1" applyAlignment="1">
      <alignment vertical="center"/>
    </xf>
    <xf numFmtId="49" fontId="3" fillId="4" borderId="9" xfId="4" applyNumberFormat="1" applyFont="1" applyFill="1" applyBorder="1" applyAlignment="1">
      <alignment horizontal="center" vertical="center"/>
    </xf>
    <xf numFmtId="49" fontId="3" fillId="4" borderId="1" xfId="4" applyNumberFormat="1" applyFont="1" applyFill="1" applyBorder="1" applyAlignment="1">
      <alignment horizontal="center" vertical="center"/>
    </xf>
    <xf numFmtId="49" fontId="3" fillId="4" borderId="1" xfId="4" applyNumberFormat="1" applyFont="1" applyFill="1" applyBorder="1" applyAlignment="1">
      <alignment horizontal="center" vertical="center" wrapText="1"/>
    </xf>
    <xf numFmtId="49" fontId="3" fillId="4" borderId="1" xfId="4" applyNumberFormat="1" applyFont="1" applyFill="1" applyBorder="1" applyAlignment="1">
      <alignment horizontal="left" vertical="center" wrapText="1"/>
    </xf>
    <xf numFmtId="43" fontId="3" fillId="4" borderId="1" xfId="1" applyFont="1" applyFill="1" applyBorder="1" applyAlignment="1">
      <alignment vertical="center"/>
    </xf>
    <xf numFmtId="43" fontId="3" fillId="4" borderId="10" xfId="1" applyFont="1" applyFill="1" applyBorder="1" applyAlignment="1">
      <alignment vertical="center"/>
    </xf>
    <xf numFmtId="49" fontId="4" fillId="2" borderId="1" xfId="4" applyNumberFormat="1" applyFont="1" applyFill="1" applyBorder="1" applyAlignment="1">
      <alignment horizontal="center" vertical="center"/>
    </xf>
    <xf numFmtId="49" fontId="4" fillId="2" borderId="1" xfId="4" applyNumberFormat="1" applyFont="1" applyFill="1" applyBorder="1" applyAlignment="1">
      <alignment horizontal="center" vertical="center" wrapText="1"/>
    </xf>
    <xf numFmtId="43" fontId="4" fillId="0" borderId="10" xfId="1" applyFont="1" applyFill="1" applyBorder="1" applyAlignment="1">
      <alignment vertical="center"/>
    </xf>
    <xf numFmtId="0" fontId="0" fillId="0" borderId="0" xfId="0" applyFont="1"/>
    <xf numFmtId="0" fontId="0" fillId="0" borderId="9" xfId="0" applyBorder="1"/>
    <xf numFmtId="0" fontId="0" fillId="0" borderId="1"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 xfId="0" applyBorder="1" applyAlignment="1">
      <alignment wrapText="1"/>
    </xf>
    <xf numFmtId="49" fontId="3" fillId="0" borderId="9" xfId="4" applyNumberFormat="1" applyFont="1" applyFill="1" applyBorder="1" applyAlignment="1">
      <alignment horizontal="center" vertical="center"/>
    </xf>
    <xf numFmtId="49" fontId="3" fillId="0" borderId="1" xfId="4" applyNumberFormat="1" applyFont="1" applyFill="1" applyBorder="1" applyAlignment="1">
      <alignment horizontal="left" vertical="center" wrapText="1"/>
    </xf>
    <xf numFmtId="49" fontId="4" fillId="0" borderId="1" xfId="4" applyNumberFormat="1" applyFont="1" applyFill="1" applyBorder="1" applyAlignment="1">
      <alignment horizontal="center" vertical="center" wrapText="1"/>
    </xf>
    <xf numFmtId="0" fontId="0" fillId="0" borderId="0" xfId="0" applyFill="1"/>
    <xf numFmtId="0" fontId="0" fillId="0" borderId="9" xfId="0" applyFill="1" applyBorder="1"/>
    <xf numFmtId="0" fontId="0" fillId="0" borderId="1" xfId="0" applyFill="1" applyBorder="1"/>
    <xf numFmtId="0" fontId="0" fillId="0" borderId="1" xfId="0" applyFill="1" applyBorder="1" applyAlignment="1">
      <alignment wrapText="1"/>
    </xf>
    <xf numFmtId="49" fontId="4" fillId="0" borderId="1" xfId="4" applyNumberFormat="1" applyFont="1" applyFill="1" applyBorder="1" applyAlignment="1">
      <alignment horizontal="center" vertical="center"/>
    </xf>
    <xf numFmtId="0" fontId="0" fillId="0" borderId="11" xfId="0" applyFill="1" applyBorder="1"/>
    <xf numFmtId="0" fontId="0" fillId="0" borderId="12" xfId="0" applyFill="1" applyBorder="1"/>
    <xf numFmtId="49" fontId="3" fillId="2" borderId="5" xfId="4" applyNumberFormat="1" applyFont="1" applyFill="1" applyBorder="1" applyAlignment="1">
      <alignment horizontal="center" vertical="center"/>
    </xf>
    <xf numFmtId="49" fontId="3" fillId="2" borderId="5" xfId="4" applyNumberFormat="1" applyFont="1" applyFill="1" applyBorder="1" applyAlignment="1">
      <alignment horizontal="left" vertical="center" wrapText="1"/>
    </xf>
    <xf numFmtId="0" fontId="6" fillId="2" borderId="5" xfId="0" applyFont="1" applyFill="1" applyBorder="1" applyAlignment="1">
      <alignment horizontal="center" vertical="center"/>
    </xf>
    <xf numFmtId="0" fontId="0" fillId="2" borderId="0" xfId="0" applyFill="1"/>
    <xf numFmtId="49" fontId="9" fillId="2" borderId="0" xfId="4" applyNumberFormat="1" applyFont="1" applyFill="1" applyBorder="1" applyAlignment="1">
      <alignment horizontal="left" vertical="center" wrapText="1"/>
    </xf>
    <xf numFmtId="43" fontId="3" fillId="2" borderId="1" xfId="1" applyFont="1" applyFill="1" applyBorder="1" applyAlignment="1">
      <alignment vertical="center"/>
    </xf>
    <xf numFmtId="0" fontId="0" fillId="0" borderId="0" xfId="0" applyAlignment="1">
      <alignment vertical="center"/>
    </xf>
    <xf numFmtId="0" fontId="4" fillId="0" borderId="9" xfId="4"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vertical="center"/>
    </xf>
    <xf numFmtId="49" fontId="4" fillId="0" borderId="9" xfId="4" applyNumberFormat="1" applyFont="1" applyFill="1" applyBorder="1" applyAlignment="1">
      <alignment horizontal="center" vertical="center"/>
    </xf>
    <xf numFmtId="49" fontId="4" fillId="0" borderId="1" xfId="4" applyNumberFormat="1" applyFont="1" applyFill="1" applyBorder="1" applyAlignment="1">
      <alignment horizontal="left" vertical="center" wrapText="1"/>
    </xf>
    <xf numFmtId="0" fontId="0" fillId="0" borderId="0" xfId="0" applyFont="1" applyFill="1"/>
    <xf numFmtId="0" fontId="0" fillId="0" borderId="0" xfId="0" applyFont="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4" applyFont="1"/>
    <xf numFmtId="0" fontId="9" fillId="0" borderId="0" xfId="4" applyFont="1" applyAlignment="1">
      <alignment horizontal="center"/>
    </xf>
    <xf numFmtId="0" fontId="11" fillId="0" borderId="0" xfId="4" applyFont="1" applyAlignment="1">
      <alignment horizontal="center"/>
    </xf>
    <xf numFmtId="0" fontId="9" fillId="0" borderId="14" xfId="4" applyFont="1" applyBorder="1" applyAlignment="1">
      <alignment horizontal="center"/>
    </xf>
    <xf numFmtId="10" fontId="12" fillId="0" borderId="14" xfId="4" applyNumberFormat="1" applyFont="1" applyBorder="1" applyAlignment="1">
      <alignment horizontal="center"/>
    </xf>
    <xf numFmtId="0" fontId="9" fillId="0" borderId="0" xfId="4" applyFont="1"/>
    <xf numFmtId="0" fontId="9" fillId="0" borderId="14" xfId="4" applyFont="1" applyBorder="1" applyAlignment="1">
      <alignment horizontal="center" vertical="center" wrapText="1"/>
    </xf>
    <xf numFmtId="0" fontId="13" fillId="0" borderId="0" xfId="6" applyNumberFormat="1" applyFont="1" applyFill="1" applyBorder="1" applyAlignment="1" applyProtection="1">
      <alignment horizontal="left" wrapText="1"/>
    </xf>
    <xf numFmtId="1" fontId="15" fillId="0" borderId="0" xfId="0" applyNumberFormat="1" applyFont="1" applyAlignment="1">
      <alignment horizontal="center" vertical="center"/>
    </xf>
    <xf numFmtId="0" fontId="13" fillId="0" borderId="0" xfId="4" applyFont="1" applyAlignment="1">
      <alignment horizontal="left"/>
    </xf>
    <xf numFmtId="0" fontId="17" fillId="0" borderId="14" xfId="4" applyFont="1" applyBorder="1" applyAlignment="1">
      <alignment horizontal="center" vertical="center"/>
    </xf>
    <xf numFmtId="10" fontId="17" fillId="5" borderId="14" xfId="4" applyNumberFormat="1" applyFont="1" applyFill="1" applyBorder="1" applyAlignment="1" applyProtection="1">
      <alignment horizontal="center" vertical="center"/>
      <protection locked="0"/>
    </xf>
    <xf numFmtId="10" fontId="17" fillId="0" borderId="14" xfId="4" applyNumberFormat="1" applyFont="1" applyBorder="1" applyAlignment="1">
      <alignment horizontal="center" vertical="center"/>
    </xf>
    <xf numFmtId="10" fontId="17" fillId="0" borderId="14" xfId="4" applyNumberFormat="1" applyFont="1" applyBorder="1" applyAlignment="1">
      <alignment horizontal="center" vertical="center" wrapText="1"/>
    </xf>
    <xf numFmtId="0" fontId="17" fillId="0" borderId="14" xfId="4" applyFont="1" applyBorder="1" applyAlignment="1">
      <alignment horizontal="center" vertical="center" wrapText="1"/>
    </xf>
    <xf numFmtId="0" fontId="17" fillId="7" borderId="14" xfId="4" applyFont="1" applyFill="1" applyBorder="1" applyAlignment="1">
      <alignment horizontal="center" vertical="center" wrapText="1"/>
    </xf>
    <xf numFmtId="10" fontId="16" fillId="7" borderId="14" xfId="4" applyNumberFormat="1" applyFont="1" applyFill="1" applyBorder="1" applyAlignment="1">
      <alignment horizontal="center" vertical="center"/>
    </xf>
    <xf numFmtId="0" fontId="18" fillId="0" borderId="0" xfId="4" applyFont="1" applyAlignment="1">
      <alignment horizontal="right" vertical="center"/>
    </xf>
    <xf numFmtId="0" fontId="0" fillId="0" borderId="0" xfId="4" applyFont="1" applyAlignment="1">
      <alignment horizontal="center" vertical="top"/>
    </xf>
    <xf numFmtId="0" fontId="22" fillId="0" borderId="0" xfId="4" applyFont="1" applyAlignment="1">
      <alignment horizontal="center" vertical="top"/>
    </xf>
    <xf numFmtId="167" fontId="0" fillId="0" borderId="0" xfId="4" applyNumberFormat="1" applyFont="1"/>
    <xf numFmtId="0" fontId="9" fillId="0" borderId="17" xfId="4" applyFont="1" applyBorder="1" applyAlignment="1">
      <alignment horizontal="left"/>
    </xf>
    <xf numFmtId="0" fontId="0" fillId="0" borderId="17" xfId="4" applyFont="1" applyBorder="1"/>
    <xf numFmtId="0" fontId="17" fillId="0" borderId="0" xfId="4" applyFont="1"/>
    <xf numFmtId="0" fontId="9" fillId="0" borderId="0" xfId="5" applyFont="1" applyAlignment="1">
      <alignment horizontal="left" vertical="top"/>
    </xf>
    <xf numFmtId="0" fontId="0" fillId="0" borderId="0" xfId="4" applyFont="1" applyAlignment="1">
      <alignment vertical="top"/>
    </xf>
    <xf numFmtId="165" fontId="0" fillId="0" borderId="0" xfId="4" applyNumberFormat="1" applyFont="1"/>
    <xf numFmtId="165" fontId="0" fillId="0" borderId="0" xfId="4" applyNumberFormat="1" applyFont="1" applyAlignment="1">
      <alignment vertical="top"/>
    </xf>
    <xf numFmtId="0" fontId="7" fillId="0" borderId="0" xfId="0" applyFont="1"/>
    <xf numFmtId="0" fontId="5" fillId="0" borderId="0" xfId="4" applyFont="1" applyAlignment="1">
      <alignment vertical="center" wrapText="1"/>
    </xf>
    <xf numFmtId="0" fontId="25" fillId="2" borderId="5" xfId="0" applyFont="1" applyFill="1" applyBorder="1" applyAlignment="1">
      <alignment horizontal="center" vertical="center"/>
    </xf>
    <xf numFmtId="49" fontId="25" fillId="2" borderId="5" xfId="0" applyNumberFormat="1" applyFont="1" applyFill="1" applyBorder="1" applyAlignment="1">
      <alignment horizontal="center" vertical="center"/>
    </xf>
    <xf numFmtId="2" fontId="25" fillId="2" borderId="5" xfId="0" applyNumberFormat="1" applyFont="1" applyFill="1" applyBorder="1" applyAlignment="1">
      <alignment vertical="center" wrapText="1"/>
    </xf>
    <xf numFmtId="0" fontId="25" fillId="2" borderId="5" xfId="0" applyFont="1" applyFill="1" applyBorder="1" applyAlignment="1">
      <alignment horizontal="center" vertical="center" wrapText="1"/>
    </xf>
    <xf numFmtId="2" fontId="25" fillId="8" borderId="5" xfId="0" applyNumberFormat="1" applyFont="1" applyFill="1" applyBorder="1" applyAlignment="1" applyProtection="1">
      <alignment vertical="center" wrapText="1"/>
      <protection locked="0"/>
    </xf>
    <xf numFmtId="0" fontId="25" fillId="0" borderId="5" xfId="0" applyFont="1" applyBorder="1" applyAlignment="1" applyProtection="1">
      <alignment horizontal="center" vertical="center"/>
      <protection locked="0"/>
    </xf>
    <xf numFmtId="17" fontId="25" fillId="0" borderId="5" xfId="0" applyNumberFormat="1" applyFont="1" applyBorder="1" applyAlignment="1" applyProtection="1">
      <alignment horizontal="center" vertical="center"/>
      <protection locked="0"/>
    </xf>
    <xf numFmtId="17" fontId="25" fillId="0" borderId="5" xfId="0" applyNumberFormat="1" applyFont="1" applyBorder="1" applyAlignment="1" applyProtection="1">
      <alignment horizontal="center" vertical="center" wrapText="1"/>
      <protection locked="0"/>
    </xf>
    <xf numFmtId="168" fontId="25" fillId="0" borderId="5" xfId="0" applyNumberFormat="1" applyFont="1" applyBorder="1" applyAlignment="1">
      <alignment horizontal="center" vertical="center" wrapText="1"/>
    </xf>
    <xf numFmtId="0" fontId="25" fillId="8" borderId="6" xfId="0" applyFont="1" applyFill="1" applyBorder="1" applyAlignment="1">
      <alignment horizontal="center" vertical="center"/>
    </xf>
    <xf numFmtId="49" fontId="25" fillId="8" borderId="7" xfId="0" applyNumberFormat="1" applyFont="1" applyFill="1" applyBorder="1" applyAlignment="1">
      <alignment horizontal="center" vertical="center"/>
    </xf>
    <xf numFmtId="2" fontId="25" fillId="8" borderId="7" xfId="0" applyNumberFormat="1" applyFont="1" applyFill="1" applyBorder="1" applyAlignment="1">
      <alignment vertical="center"/>
    </xf>
    <xf numFmtId="0" fontId="25"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6" fillId="0" borderId="9" xfId="0" applyFont="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0" fontId="7" fillId="0" borderId="1" xfId="0" applyFont="1" applyBorder="1" applyAlignment="1">
      <alignment wrapText="1"/>
    </xf>
    <xf numFmtId="0" fontId="26" fillId="0" borderId="1" xfId="0" applyFont="1" applyBorder="1" applyAlignment="1" applyProtection="1">
      <alignment horizontal="center" vertical="center" wrapText="1"/>
      <protection locked="0"/>
    </xf>
    <xf numFmtId="169" fontId="26" fillId="0" borderId="1" xfId="0" applyNumberFormat="1" applyFont="1" applyBorder="1" applyAlignment="1" applyProtection="1">
      <alignment horizontal="center" vertical="center" wrapText="1"/>
      <protection locked="0"/>
    </xf>
    <xf numFmtId="168" fontId="26" fillId="0" borderId="1" xfId="0" applyNumberFormat="1" applyFont="1" applyBorder="1" applyAlignment="1" applyProtection="1">
      <alignment vertical="center" wrapText="1"/>
      <protection locked="0"/>
    </xf>
    <xf numFmtId="168" fontId="26" fillId="0" borderId="10" xfId="0" applyNumberFormat="1" applyFont="1" applyBorder="1" applyAlignment="1">
      <alignment vertical="center" wrapText="1"/>
    </xf>
    <xf numFmtId="10" fontId="4" fillId="0" borderId="0" xfId="3" applyNumberFormat="1" applyFont="1" applyFill="1" applyBorder="1" applyAlignment="1">
      <alignment horizontal="left" vertical="center"/>
    </xf>
    <xf numFmtId="168" fontId="25" fillId="4" borderId="1" xfId="0" applyNumberFormat="1" applyFont="1" applyFill="1" applyBorder="1" applyAlignment="1" applyProtection="1">
      <alignment vertical="center" wrapText="1"/>
      <protection locked="0"/>
    </xf>
    <xf numFmtId="168" fontId="26" fillId="4" borderId="10" xfId="0" applyNumberFormat="1" applyFont="1" applyFill="1" applyBorder="1" applyAlignment="1">
      <alignment vertical="center" wrapText="1"/>
    </xf>
    <xf numFmtId="168" fontId="25" fillId="0" borderId="5" xfId="0" applyNumberFormat="1" applyFont="1" applyBorder="1" applyAlignment="1" applyProtection="1">
      <alignment horizontal="right" vertical="center" wrapText="1"/>
      <protection locked="0"/>
    </xf>
    <xf numFmtId="168" fontId="26" fillId="0" borderId="5" xfId="0" applyNumberFormat="1" applyFont="1" applyBorder="1" applyAlignment="1">
      <alignment vertical="center" wrapText="1"/>
    </xf>
    <xf numFmtId="0" fontId="25" fillId="8" borderId="9" xfId="0" applyFont="1" applyFill="1" applyBorder="1" applyAlignment="1">
      <alignment horizontal="center" vertical="center"/>
    </xf>
    <xf numFmtId="49" fontId="25" fillId="8" borderId="1" xfId="0" applyNumberFormat="1" applyFont="1" applyFill="1" applyBorder="1" applyAlignment="1">
      <alignment horizontal="center" vertical="center"/>
    </xf>
    <xf numFmtId="2" fontId="25" fillId="8" borderId="1" xfId="0" applyNumberFormat="1" applyFont="1" applyFill="1" applyBorder="1" applyAlignment="1">
      <alignment vertical="center"/>
    </xf>
    <xf numFmtId="0" fontId="25" fillId="8" borderId="1" xfId="0" applyFont="1" applyFill="1" applyBorder="1" applyAlignment="1">
      <alignment horizontal="center" vertical="center"/>
    </xf>
    <xf numFmtId="0" fontId="25" fillId="8" borderId="1"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6" fillId="0" borderId="1" xfId="7" applyFont="1" applyBorder="1" applyAlignment="1">
      <alignment horizontal="center" vertical="center" wrapText="1"/>
    </xf>
    <xf numFmtId="0" fontId="26" fillId="0" borderId="1" xfId="7" applyFont="1" applyBorder="1" applyAlignment="1">
      <alignment horizontal="left" vertical="center" wrapText="1"/>
    </xf>
    <xf numFmtId="170" fontId="26" fillId="0" borderId="1" xfId="7" applyNumberFormat="1" applyFont="1" applyBorder="1" applyAlignment="1">
      <alignment horizontal="center" vertical="center" wrapText="1"/>
    </xf>
    <xf numFmtId="4" fontId="26" fillId="0" borderId="1" xfId="7" applyNumberFormat="1" applyFont="1" applyBorder="1" applyAlignment="1">
      <alignment horizontal="center" vertical="center" wrapText="1"/>
    </xf>
    <xf numFmtId="168" fontId="25" fillId="4" borderId="1" xfId="0" applyNumberFormat="1" applyFont="1" applyFill="1" applyBorder="1" applyAlignment="1" applyProtection="1">
      <alignment horizontal="right" vertical="center" wrapText="1"/>
      <protection locked="0"/>
    </xf>
    <xf numFmtId="0" fontId="26" fillId="0" borderId="11" xfId="0" applyFont="1" applyBorder="1" applyAlignment="1" applyProtection="1">
      <alignment horizontal="center" vertical="center" wrapText="1"/>
      <protection locked="0"/>
    </xf>
    <xf numFmtId="0" fontId="26" fillId="0" borderId="12" xfId="7" applyFont="1" applyBorder="1" applyAlignment="1">
      <alignment horizontal="center" vertical="center" wrapText="1"/>
    </xf>
    <xf numFmtId="0" fontId="26" fillId="0" borderId="12" xfId="7" applyFont="1" applyBorder="1" applyAlignment="1">
      <alignment horizontal="left" vertical="center" wrapText="1"/>
    </xf>
    <xf numFmtId="0" fontId="26" fillId="0" borderId="12" xfId="0" applyFont="1" applyBorder="1" applyAlignment="1" applyProtection="1">
      <alignment horizontal="center" vertical="center" wrapText="1"/>
      <protection locked="0"/>
    </xf>
    <xf numFmtId="4" fontId="26" fillId="0" borderId="12" xfId="7" applyNumberFormat="1" applyFont="1" applyBorder="1" applyAlignment="1">
      <alignment horizontal="center" vertical="center" wrapText="1"/>
    </xf>
    <xf numFmtId="168" fontId="25" fillId="4" borderId="12" xfId="0" applyNumberFormat="1" applyFont="1" applyFill="1" applyBorder="1" applyAlignment="1" applyProtection="1">
      <alignment horizontal="right" vertical="center" wrapText="1"/>
      <protection locked="0"/>
    </xf>
    <xf numFmtId="168" fontId="26" fillId="4" borderId="13" xfId="0" applyNumberFormat="1" applyFont="1" applyFill="1" applyBorder="1" applyAlignment="1">
      <alignment vertical="center" wrapText="1"/>
    </xf>
    <xf numFmtId="168" fontId="25" fillId="4" borderId="5" xfId="0" applyNumberFormat="1" applyFont="1" applyFill="1" applyBorder="1" applyAlignment="1">
      <alignment horizontal="center" vertical="center" wrapText="1"/>
    </xf>
    <xf numFmtId="169" fontId="26" fillId="0" borderId="1" xfId="0" applyNumberFormat="1" applyFont="1" applyBorder="1" applyAlignment="1" applyProtection="1">
      <alignment vertical="center" wrapText="1"/>
      <protection locked="0"/>
    </xf>
    <xf numFmtId="171" fontId="26" fillId="0" borderId="1" xfId="7" applyNumberFormat="1" applyFont="1" applyBorder="1" applyAlignment="1">
      <alignment horizontal="center" vertical="center" wrapText="1"/>
    </xf>
    <xf numFmtId="0" fontId="25" fillId="8" borderId="34" xfId="0" applyFont="1" applyFill="1" applyBorder="1" applyAlignment="1">
      <alignment horizontal="center" vertical="center"/>
    </xf>
    <xf numFmtId="49" fontId="25" fillId="8" borderId="35" xfId="0" applyNumberFormat="1" applyFont="1" applyFill="1" applyBorder="1" applyAlignment="1">
      <alignment horizontal="center" vertical="center"/>
    </xf>
    <xf numFmtId="2" fontId="25" fillId="8" borderId="35" xfId="0" applyNumberFormat="1" applyFont="1" applyFill="1" applyBorder="1" applyAlignment="1">
      <alignment vertical="center"/>
    </xf>
    <xf numFmtId="0" fontId="25" fillId="8" borderId="35" xfId="0" applyFont="1" applyFill="1" applyBorder="1" applyAlignment="1">
      <alignment horizontal="center" vertical="center"/>
    </xf>
    <xf numFmtId="0" fontId="25" fillId="8" borderId="35"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26" fillId="9" borderId="1" xfId="7" applyFont="1" applyFill="1" applyBorder="1" applyAlignment="1">
      <alignment horizontal="center" vertical="center" wrapText="1"/>
    </xf>
    <xf numFmtId="0" fontId="26" fillId="9" borderId="1" xfId="7" applyFont="1" applyFill="1" applyBorder="1" applyAlignment="1">
      <alignment horizontal="left" vertical="center" wrapText="1"/>
    </xf>
    <xf numFmtId="4" fontId="26" fillId="9" borderId="1" xfId="7" applyNumberFormat="1" applyFont="1" applyFill="1" applyBorder="1" applyAlignment="1">
      <alignment horizontal="center" vertical="center" wrapText="1"/>
    </xf>
    <xf numFmtId="0" fontId="26" fillId="0" borderId="37" xfId="0" applyFont="1" applyBorder="1" applyAlignment="1" applyProtection="1">
      <alignment horizontal="center" vertical="center" wrapText="1"/>
      <protection locked="0"/>
    </xf>
    <xf numFmtId="0" fontId="26" fillId="0" borderId="38" xfId="7" applyFont="1" applyBorder="1" applyAlignment="1">
      <alignment horizontal="center" vertical="center" wrapText="1"/>
    </xf>
    <xf numFmtId="0" fontId="26" fillId="0" borderId="38" xfId="7" applyFont="1" applyBorder="1" applyAlignment="1">
      <alignment horizontal="left" vertical="center" wrapText="1"/>
    </xf>
    <xf numFmtId="0" fontId="26" fillId="0" borderId="38" xfId="0" applyFont="1" applyBorder="1" applyAlignment="1" applyProtection="1">
      <alignment horizontal="center" vertical="center" wrapText="1"/>
      <protection locked="0"/>
    </xf>
    <xf numFmtId="4" fontId="26" fillId="0" borderId="38" xfId="7" applyNumberFormat="1" applyFont="1" applyBorder="1" applyAlignment="1">
      <alignment horizontal="center" vertical="center" wrapText="1"/>
    </xf>
    <xf numFmtId="0" fontId="26" fillId="9" borderId="38" xfId="7" applyFont="1" applyFill="1" applyBorder="1" applyAlignment="1">
      <alignment horizontal="center" vertical="center" wrapText="1"/>
    </xf>
    <xf numFmtId="0" fontId="26" fillId="9" borderId="38" xfId="7" applyFont="1" applyFill="1" applyBorder="1" applyAlignment="1">
      <alignment horizontal="left" vertical="center" wrapText="1"/>
    </xf>
    <xf numFmtId="4" fontId="26" fillId="9" borderId="38" xfId="7" applyNumberFormat="1" applyFont="1" applyFill="1" applyBorder="1" applyAlignment="1">
      <alignment horizontal="center" vertical="center" wrapText="1"/>
    </xf>
    <xf numFmtId="170" fontId="26" fillId="9" borderId="38" xfId="7" applyNumberFormat="1" applyFont="1" applyFill="1" applyBorder="1" applyAlignment="1">
      <alignment horizontal="center" vertical="center" wrapText="1"/>
    </xf>
    <xf numFmtId="0" fontId="28" fillId="10" borderId="0" xfId="0" applyFont="1" applyFill="1" applyAlignment="1">
      <alignment horizontal="left" vertical="top" wrapText="1"/>
    </xf>
    <xf numFmtId="0" fontId="29" fillId="10" borderId="0" xfId="0" applyFont="1" applyFill="1" applyAlignment="1">
      <alignment horizontal="left" vertical="top" wrapText="1"/>
    </xf>
    <xf numFmtId="0" fontId="0" fillId="0" borderId="0" xfId="0"/>
    <xf numFmtId="0" fontId="29" fillId="10" borderId="0" xfId="0" applyFont="1" applyFill="1" applyAlignment="1">
      <alignment horizontal="center" vertical="top" wrapText="1"/>
    </xf>
    <xf numFmtId="0" fontId="32" fillId="10" borderId="0" xfId="0" applyFont="1" applyFill="1" applyAlignment="1">
      <alignment horizontal="center" vertical="top" wrapText="1"/>
    </xf>
    <xf numFmtId="0" fontId="29" fillId="10" borderId="0" xfId="0" applyFont="1" applyFill="1" applyAlignment="1">
      <alignment horizontal="left" vertical="top" wrapText="1"/>
    </xf>
    <xf numFmtId="0" fontId="0" fillId="0" borderId="0" xfId="0"/>
    <xf numFmtId="0" fontId="28" fillId="10" borderId="0" xfId="0" applyFont="1" applyFill="1" applyAlignment="1">
      <alignment horizontal="left" vertical="top" wrapText="1"/>
    </xf>
    <xf numFmtId="0" fontId="29" fillId="10" borderId="0" xfId="0" applyFont="1" applyFill="1" applyAlignment="1">
      <alignment horizontal="center" vertical="center" wrapText="1"/>
    </xf>
    <xf numFmtId="0" fontId="32" fillId="10" borderId="0" xfId="0" applyFont="1" applyFill="1" applyAlignment="1">
      <alignment horizontal="center" vertical="center" wrapText="1"/>
    </xf>
    <xf numFmtId="0" fontId="0" fillId="0" borderId="0" xfId="0" applyAlignment="1">
      <alignment horizontal="center" vertical="center"/>
    </xf>
    <xf numFmtId="0" fontId="30" fillId="11" borderId="1" xfId="0" applyFont="1" applyFill="1" applyBorder="1" applyAlignment="1">
      <alignment horizontal="center" vertical="center" wrapText="1"/>
    </xf>
    <xf numFmtId="44" fontId="30" fillId="11" borderId="1" xfId="0" applyNumberFormat="1" applyFont="1" applyFill="1" applyBorder="1" applyAlignment="1">
      <alignment horizontal="right" vertical="top" wrapText="1"/>
    </xf>
    <xf numFmtId="0" fontId="30" fillId="11" borderId="40" xfId="0" applyFont="1" applyFill="1" applyBorder="1" applyAlignment="1">
      <alignment horizontal="left" vertical="center" wrapText="1"/>
    </xf>
    <xf numFmtId="0" fontId="30" fillId="11" borderId="40" xfId="0" applyFont="1" applyFill="1" applyBorder="1" applyAlignment="1">
      <alignment horizontal="center" vertical="center" wrapText="1"/>
    </xf>
    <xf numFmtId="0" fontId="29" fillId="10" borderId="1" xfId="0" applyFont="1" applyFill="1" applyBorder="1" applyAlignment="1">
      <alignment horizontal="left" vertical="top" wrapText="1"/>
    </xf>
    <xf numFmtId="0" fontId="0" fillId="0" borderId="0" xfId="0" applyAlignment="1"/>
    <xf numFmtId="0" fontId="29" fillId="10" borderId="0" xfId="0" applyFont="1" applyFill="1" applyBorder="1" applyAlignment="1">
      <alignment horizontal="center" vertical="center" wrapText="1"/>
    </xf>
    <xf numFmtId="0" fontId="29" fillId="10" borderId="0" xfId="0" applyFont="1" applyFill="1" applyBorder="1" applyAlignment="1">
      <alignment horizontal="center" vertical="top" wrapText="1"/>
    </xf>
    <xf numFmtId="0" fontId="32" fillId="10" borderId="0" xfId="0" applyFont="1" applyFill="1" applyBorder="1" applyAlignment="1">
      <alignment vertical="top" wrapText="1"/>
    </xf>
    <xf numFmtId="0" fontId="0" fillId="0" borderId="0" xfId="0" applyBorder="1" applyAlignment="1"/>
    <xf numFmtId="0" fontId="0" fillId="0" borderId="0" xfId="0" applyBorder="1" applyAlignment="1">
      <alignment horizontal="center" vertical="center"/>
    </xf>
    <xf numFmtId="0" fontId="0" fillId="0" borderId="0" xfId="0" applyBorder="1"/>
    <xf numFmtId="0" fontId="29" fillId="12" borderId="1" xfId="0" applyFont="1" applyFill="1" applyBorder="1" applyAlignment="1">
      <alignment horizontal="right" vertical="top" wrapText="1"/>
    </xf>
    <xf numFmtId="0" fontId="29" fillId="12" borderId="1" xfId="0" applyFont="1" applyFill="1" applyBorder="1" applyAlignment="1">
      <alignment horizontal="left" vertical="top" wrapText="1"/>
    </xf>
    <xf numFmtId="0" fontId="16" fillId="13" borderId="5" xfId="0" applyFont="1" applyFill="1" applyBorder="1" applyAlignment="1">
      <alignment horizontal="center" vertical="center" wrapText="1"/>
    </xf>
    <xf numFmtId="0" fontId="28" fillId="10" borderId="0" xfId="0" applyFont="1" applyFill="1" applyAlignment="1">
      <alignment wrapText="1"/>
    </xf>
    <xf numFmtId="0" fontId="16" fillId="0" borderId="0" xfId="0" applyFont="1" applyAlignment="1">
      <alignment vertical="center"/>
    </xf>
    <xf numFmtId="0" fontId="17" fillId="0" borderId="0" xfId="0" applyFont="1" applyAlignment="1">
      <alignment horizontal="left" vertical="center" wrapText="1"/>
    </xf>
    <xf numFmtId="0" fontId="16" fillId="0" borderId="0" xfId="0" applyFont="1" applyAlignment="1">
      <alignment vertical="center" wrapText="1"/>
    </xf>
    <xf numFmtId="0" fontId="17" fillId="0" borderId="0" xfId="0" applyFont="1" applyAlignment="1">
      <alignment vertical="center"/>
    </xf>
    <xf numFmtId="43" fontId="17" fillId="0" borderId="0" xfId="1" applyFont="1" applyFill="1" applyBorder="1" applyAlignment="1">
      <alignment horizontal="center" vertical="center" wrapText="1"/>
    </xf>
    <xf numFmtId="10" fontId="16" fillId="0" borderId="0" xfId="3" applyNumberFormat="1" applyFont="1" applyFill="1" applyBorder="1" applyAlignment="1">
      <alignment horizontal="left" vertical="center" wrapText="1"/>
    </xf>
    <xf numFmtId="44" fontId="16" fillId="0" borderId="0" xfId="2" applyFont="1" applyFill="1" applyBorder="1" applyAlignment="1">
      <alignment horizontal="center" vertical="center" wrapText="1"/>
    </xf>
    <xf numFmtId="0" fontId="17" fillId="0" borderId="0" xfId="0" applyFont="1" applyAlignment="1">
      <alignment horizontal="center" vertical="center" wrapText="1"/>
    </xf>
    <xf numFmtId="10" fontId="16" fillId="0" borderId="0" xfId="3" applyNumberFormat="1" applyFont="1" applyFill="1" applyBorder="1" applyAlignment="1">
      <alignment horizontal="left" vertical="center"/>
    </xf>
    <xf numFmtId="0" fontId="28" fillId="10" borderId="0" xfId="0" applyFont="1" applyFill="1" applyAlignment="1">
      <alignment vertical="top" wrapText="1"/>
    </xf>
    <xf numFmtId="0" fontId="33" fillId="0" borderId="0" xfId="0" applyFont="1" applyAlignment="1">
      <alignment vertical="top" wrapText="1"/>
    </xf>
    <xf numFmtId="0" fontId="16" fillId="0" borderId="0" xfId="0" applyFont="1" applyAlignment="1">
      <alignment horizontal="center" vertical="center" wrapText="1"/>
    </xf>
    <xf numFmtId="10" fontId="16" fillId="0" borderId="0" xfId="3" applyNumberFormat="1" applyFont="1" applyFill="1" applyBorder="1" applyAlignment="1">
      <alignment horizontal="left" vertical="center" wrapText="1"/>
    </xf>
    <xf numFmtId="10" fontId="17" fillId="10" borderId="0" xfId="0" applyNumberFormat="1" applyFont="1" applyFill="1" applyAlignment="1">
      <alignment horizontal="center" vertical="top" wrapText="1"/>
    </xf>
    <xf numFmtId="0" fontId="30" fillId="11" borderId="43" xfId="0" applyFont="1" applyFill="1" applyBorder="1" applyAlignment="1">
      <alignment horizontal="left" vertical="center" wrapText="1"/>
    </xf>
    <xf numFmtId="0" fontId="30" fillId="11" borderId="43" xfId="0" applyFont="1" applyFill="1" applyBorder="1" applyAlignment="1">
      <alignment horizontal="right" vertical="center" wrapText="1"/>
    </xf>
    <xf numFmtId="10" fontId="30" fillId="11" borderId="43" xfId="3" applyNumberFormat="1" applyFont="1" applyFill="1" applyBorder="1" applyAlignment="1">
      <alignment horizontal="right" vertical="center" wrapText="1"/>
    </xf>
    <xf numFmtId="0" fontId="30" fillId="11" borderId="42" xfId="0" applyFont="1" applyFill="1" applyBorder="1" applyAlignment="1">
      <alignment horizontal="left" vertical="center" wrapText="1"/>
    </xf>
    <xf numFmtId="0" fontId="0" fillId="0" borderId="0" xfId="0"/>
    <xf numFmtId="0" fontId="0" fillId="0" borderId="0" xfId="0" applyAlignment="1">
      <alignment horizontal="center"/>
    </xf>
    <xf numFmtId="0" fontId="36" fillId="0" borderId="0" xfId="0" applyFont="1" applyAlignment="1">
      <alignment vertical="center"/>
    </xf>
    <xf numFmtId="0" fontId="5" fillId="0" borderId="47" xfId="4" applyFont="1" applyFill="1" applyBorder="1" applyAlignment="1">
      <alignment vertical="center" wrapText="1"/>
    </xf>
    <xf numFmtId="0" fontId="5" fillId="0" borderId="0" xfId="4" applyFont="1" applyFill="1" applyBorder="1" applyAlignment="1">
      <alignment vertical="center" wrapText="1"/>
    </xf>
    <xf numFmtId="0" fontId="30" fillId="11" borderId="1" xfId="0" applyFont="1" applyFill="1" applyBorder="1" applyAlignment="1">
      <alignment horizontal="left" vertical="center" wrapText="1"/>
    </xf>
    <xf numFmtId="0" fontId="30" fillId="11" borderId="1" xfId="0" applyFont="1" applyFill="1" applyBorder="1" applyAlignment="1">
      <alignment horizontal="right" vertical="center" wrapText="1"/>
    </xf>
    <xf numFmtId="44" fontId="30" fillId="11" borderId="1" xfId="2" applyFont="1" applyFill="1" applyBorder="1" applyAlignment="1">
      <alignment horizontal="left" vertical="center" wrapText="1"/>
    </xf>
    <xf numFmtId="44" fontId="30" fillId="11" borderId="1" xfId="2" applyFont="1" applyFill="1" applyBorder="1" applyAlignment="1">
      <alignment horizontal="right" vertical="center" wrapText="1"/>
    </xf>
    <xf numFmtId="172" fontId="30" fillId="11"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right" vertical="center" wrapText="1"/>
    </xf>
    <xf numFmtId="44" fontId="31" fillId="0" borderId="1" xfId="2" applyFont="1" applyFill="1" applyBorder="1" applyAlignment="1">
      <alignment horizontal="right" vertical="center" wrapText="1"/>
    </xf>
    <xf numFmtId="172" fontId="31" fillId="0" borderId="1" xfId="0" applyNumberFormat="1"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1" xfId="0" applyFont="1" applyFill="1" applyBorder="1" applyAlignment="1">
      <alignment horizontal="left" vertical="center" wrapText="1"/>
    </xf>
    <xf numFmtId="0" fontId="30" fillId="14" borderId="1" xfId="0" applyFont="1" applyFill="1" applyBorder="1" applyAlignment="1">
      <alignment horizontal="right" vertical="center" wrapText="1"/>
    </xf>
    <xf numFmtId="44" fontId="30" fillId="14" borderId="1" xfId="2" applyFont="1" applyFill="1" applyBorder="1" applyAlignment="1">
      <alignment horizontal="right" vertical="center" wrapText="1"/>
    </xf>
    <xf numFmtId="172" fontId="30" fillId="14" borderId="1" xfId="0" applyNumberFormat="1" applyFont="1" applyFill="1" applyBorder="1" applyAlignment="1">
      <alignment horizontal="center" vertical="center" wrapText="1"/>
    </xf>
    <xf numFmtId="0" fontId="30" fillId="11" borderId="40" xfId="0" applyFont="1" applyFill="1" applyBorder="1" applyAlignment="1">
      <alignment horizontal="right" vertical="center" wrapText="1"/>
    </xf>
    <xf numFmtId="44" fontId="30" fillId="11" borderId="40" xfId="2" applyFont="1" applyFill="1" applyBorder="1" applyAlignment="1">
      <alignment horizontal="left" vertical="center" wrapText="1"/>
    </xf>
    <xf numFmtId="44" fontId="30" fillId="11" borderId="40" xfId="2" applyFont="1" applyFill="1" applyBorder="1" applyAlignment="1">
      <alignment horizontal="right" vertical="center" wrapText="1"/>
    </xf>
    <xf numFmtId="172" fontId="30" fillId="11" borderId="40" xfId="0" applyNumberFormat="1"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5" xfId="0" applyFont="1" applyFill="1" applyBorder="1" applyAlignment="1">
      <alignment horizontal="left" vertical="center" wrapText="1"/>
    </xf>
    <xf numFmtId="0" fontId="0" fillId="0" borderId="0" xfId="0" applyBorder="1" applyAlignment="1">
      <alignment horizontal="center"/>
    </xf>
    <xf numFmtId="0" fontId="31" fillId="0" borderId="48" xfId="0" applyFont="1" applyFill="1" applyBorder="1" applyAlignment="1">
      <alignment horizontal="center" vertical="center" wrapText="1"/>
    </xf>
    <xf numFmtId="0" fontId="31" fillId="0" borderId="48" xfId="0" applyFont="1" applyFill="1" applyBorder="1" applyAlignment="1">
      <alignment horizontal="left" vertical="center" wrapText="1"/>
    </xf>
    <xf numFmtId="0" fontId="31" fillId="0" borderId="48" xfId="0" applyFont="1" applyFill="1" applyBorder="1" applyAlignment="1">
      <alignment horizontal="right" vertical="center" wrapText="1"/>
    </xf>
    <xf numFmtId="44" fontId="31" fillId="0" borderId="48" xfId="2" applyFont="1" applyFill="1" applyBorder="1" applyAlignment="1">
      <alignment horizontal="right" vertical="center" wrapText="1"/>
    </xf>
    <xf numFmtId="172" fontId="31" fillId="0" borderId="48" xfId="0" applyNumberFormat="1"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29" xfId="0" applyFont="1" applyFill="1" applyBorder="1" applyAlignment="1">
      <alignment horizontal="center" vertical="top" wrapText="1"/>
    </xf>
    <xf numFmtId="0" fontId="32" fillId="2" borderId="30" xfId="0" applyFont="1" applyFill="1" applyBorder="1" applyAlignment="1">
      <alignment horizontal="center" vertical="top" wrapText="1"/>
    </xf>
    <xf numFmtId="44" fontId="29" fillId="2" borderId="0" xfId="2" applyFont="1" applyFill="1" applyBorder="1" applyAlignment="1">
      <alignment vertical="top" wrapText="1"/>
    </xf>
    <xf numFmtId="0" fontId="29" fillId="2" borderId="50" xfId="0" applyFont="1" applyFill="1" applyBorder="1" applyAlignment="1">
      <alignment vertical="top" wrapText="1"/>
    </xf>
    <xf numFmtId="0" fontId="29" fillId="2" borderId="31" xfId="0" applyFont="1" applyFill="1" applyBorder="1" applyAlignment="1">
      <alignment vertical="center" wrapText="1"/>
    </xf>
    <xf numFmtId="0" fontId="29" fillId="2" borderId="32" xfId="0" applyFont="1" applyFill="1" applyBorder="1" applyAlignment="1">
      <alignment vertical="center" wrapText="1"/>
    </xf>
    <xf numFmtId="0" fontId="32" fillId="2" borderId="32" xfId="0" applyFont="1" applyFill="1" applyBorder="1" applyAlignment="1">
      <alignment horizontal="left" vertical="top" wrapText="1"/>
    </xf>
    <xf numFmtId="0" fontId="29" fillId="2" borderId="32" xfId="0" applyFont="1" applyFill="1" applyBorder="1" applyAlignment="1">
      <alignment horizontal="right" vertical="top" wrapText="1"/>
    </xf>
    <xf numFmtId="0" fontId="29" fillId="2" borderId="32" xfId="0" applyFont="1" applyFill="1" applyBorder="1" applyAlignment="1">
      <alignment vertical="top" wrapText="1"/>
    </xf>
    <xf numFmtId="4" fontId="29" fillId="2" borderId="32" xfId="0" applyNumberFormat="1" applyFont="1" applyFill="1" applyBorder="1" applyAlignment="1">
      <alignment vertical="top" wrapText="1"/>
    </xf>
    <xf numFmtId="0" fontId="29" fillId="2" borderId="33" xfId="0" applyFont="1" applyFill="1" applyBorder="1" applyAlignment="1">
      <alignment vertical="top" wrapText="1"/>
    </xf>
    <xf numFmtId="0" fontId="29" fillId="10" borderId="28" xfId="0" applyFont="1" applyFill="1" applyBorder="1" applyAlignment="1">
      <alignment vertical="center" wrapText="1"/>
    </xf>
    <xf numFmtId="0" fontId="29" fillId="10" borderId="29" xfId="0" applyFont="1" applyFill="1" applyBorder="1" applyAlignment="1">
      <alignment vertical="center" wrapText="1"/>
    </xf>
    <xf numFmtId="0" fontId="32" fillId="10" borderId="29" xfId="0" applyFont="1" applyFill="1" applyBorder="1" applyAlignment="1">
      <alignment horizontal="left" vertical="top" wrapText="1"/>
    </xf>
    <xf numFmtId="0" fontId="29" fillId="10" borderId="29" xfId="0" applyFont="1" applyFill="1" applyBorder="1" applyAlignment="1">
      <alignment horizontal="right" vertical="top" wrapText="1"/>
    </xf>
    <xf numFmtId="0" fontId="0" fillId="0" borderId="29" xfId="0" applyBorder="1" applyAlignment="1"/>
    <xf numFmtId="0" fontId="29" fillId="10" borderId="30" xfId="0" applyFont="1" applyFill="1" applyBorder="1" applyAlignment="1">
      <alignment vertical="top" wrapText="1"/>
    </xf>
    <xf numFmtId="0" fontId="32" fillId="10" borderId="31" xfId="0" applyFont="1" applyFill="1" applyBorder="1" applyAlignment="1">
      <alignment vertical="top" wrapText="1"/>
    </xf>
    <xf numFmtId="0" fontId="0" fillId="0" borderId="32" xfId="0" applyBorder="1" applyAlignment="1"/>
    <xf numFmtId="0" fontId="0" fillId="0" borderId="33" xfId="0" applyBorder="1" applyAlignment="1"/>
    <xf numFmtId="0" fontId="31" fillId="11" borderId="51" xfId="0" applyFont="1" applyFill="1" applyBorder="1" applyAlignment="1">
      <alignment horizontal="right" vertical="top" wrapText="1"/>
    </xf>
    <xf numFmtId="10" fontId="30" fillId="11" borderId="44" xfId="3" applyNumberFormat="1" applyFont="1" applyFill="1" applyBorder="1" applyAlignment="1">
      <alignment horizontal="right" vertical="top" wrapText="1"/>
    </xf>
    <xf numFmtId="0" fontId="29" fillId="12" borderId="44" xfId="0" applyFont="1" applyFill="1" applyBorder="1" applyAlignment="1">
      <alignment horizontal="left" vertical="top" wrapText="1"/>
    </xf>
    <xf numFmtId="0" fontId="29" fillId="10" borderId="44" xfId="0" applyFont="1" applyFill="1" applyBorder="1" applyAlignment="1">
      <alignment horizontal="left" vertical="top" wrapText="1"/>
    </xf>
    <xf numFmtId="0" fontId="29" fillId="10" borderId="6" xfId="0" applyFont="1" applyFill="1" applyBorder="1" applyAlignment="1">
      <alignment horizontal="right" vertical="top" wrapText="1"/>
    </xf>
    <xf numFmtId="0" fontId="29" fillId="10" borderId="7" xfId="0" applyFont="1" applyFill="1" applyBorder="1" applyAlignment="1">
      <alignment horizontal="right" vertical="top" wrapText="1"/>
    </xf>
    <xf numFmtId="0" fontId="29" fillId="10" borderId="8" xfId="0" applyFont="1" applyFill="1" applyBorder="1" applyAlignment="1">
      <alignment horizontal="right" vertical="top" wrapText="1"/>
    </xf>
    <xf numFmtId="0" fontId="29" fillId="10" borderId="9" xfId="0" applyFont="1" applyFill="1" applyBorder="1" applyAlignment="1">
      <alignment horizontal="right" vertical="top" wrapText="1"/>
    </xf>
    <xf numFmtId="0" fontId="29" fillId="10" borderId="1" xfId="0" applyFont="1" applyFill="1" applyBorder="1" applyAlignment="1">
      <alignment horizontal="right" vertical="top" wrapText="1"/>
    </xf>
    <xf numFmtId="0" fontId="29" fillId="10" borderId="10" xfId="0" applyFont="1" applyFill="1" applyBorder="1" applyAlignment="1">
      <alignment horizontal="right" vertical="top" wrapText="1"/>
    </xf>
    <xf numFmtId="0" fontId="29" fillId="12" borderId="11" xfId="0" applyFont="1" applyFill="1" applyBorder="1" applyAlignment="1">
      <alignment horizontal="right" vertical="top" wrapText="1"/>
    </xf>
    <xf numFmtId="0" fontId="29" fillId="12" borderId="12" xfId="0" applyFont="1" applyFill="1" applyBorder="1" applyAlignment="1">
      <alignment horizontal="right" vertical="top" wrapText="1"/>
    </xf>
    <xf numFmtId="0" fontId="29" fillId="12" borderId="13" xfId="0" applyFont="1" applyFill="1" applyBorder="1" applyAlignment="1">
      <alignment horizontal="right" vertical="top" wrapText="1"/>
    </xf>
    <xf numFmtId="0" fontId="29" fillId="12" borderId="9" xfId="0" applyFont="1" applyFill="1" applyBorder="1" applyAlignment="1">
      <alignment horizontal="right" vertical="top" wrapText="1"/>
    </xf>
    <xf numFmtId="0" fontId="29" fillId="12" borderId="10" xfId="0" applyFont="1" applyFill="1" applyBorder="1" applyAlignment="1">
      <alignment horizontal="right" vertical="top" wrapText="1"/>
    </xf>
    <xf numFmtId="0" fontId="31" fillId="11" borderId="52" xfId="0" applyFont="1" applyFill="1" applyBorder="1" applyAlignment="1">
      <alignment horizontal="right" vertical="top" wrapText="1"/>
    </xf>
    <xf numFmtId="0" fontId="31" fillId="11" borderId="53" xfId="0" applyFont="1" applyFill="1" applyBorder="1" applyAlignment="1">
      <alignment horizontal="right" vertical="top" wrapText="1"/>
    </xf>
    <xf numFmtId="0" fontId="31" fillId="2" borderId="54" xfId="0" applyFont="1" applyFill="1" applyBorder="1" applyAlignment="1">
      <alignment horizontal="center" vertical="center" wrapText="1"/>
    </xf>
    <xf numFmtId="0" fontId="30" fillId="11" borderId="48" xfId="0" applyFont="1" applyFill="1" applyBorder="1" applyAlignment="1">
      <alignment horizontal="center" vertical="center" wrapText="1"/>
    </xf>
    <xf numFmtId="0" fontId="30" fillId="11" borderId="56" xfId="0" applyFont="1" applyFill="1" applyBorder="1" applyAlignment="1">
      <alignment horizontal="center" vertical="center" wrapText="1"/>
    </xf>
    <xf numFmtId="0" fontId="30" fillId="11" borderId="54" xfId="0" applyFont="1" applyFill="1" applyBorder="1" applyAlignment="1">
      <alignment horizontal="center" vertical="center" wrapText="1"/>
    </xf>
    <xf numFmtId="0" fontId="30" fillId="11" borderId="55" xfId="0" applyFont="1" applyFill="1" applyBorder="1" applyAlignment="1">
      <alignment horizontal="center" vertical="center" wrapText="1"/>
    </xf>
    <xf numFmtId="0" fontId="31" fillId="11" borderId="45" xfId="0" applyFont="1" applyFill="1" applyBorder="1" applyAlignment="1">
      <alignment horizontal="center" vertical="center" wrapText="1"/>
    </xf>
    <xf numFmtId="0" fontId="30" fillId="11" borderId="45"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1" fillId="11" borderId="58" xfId="0" applyFont="1" applyFill="1" applyBorder="1" applyAlignment="1">
      <alignment horizontal="right" vertical="top" wrapText="1"/>
    </xf>
    <xf numFmtId="0" fontId="30" fillId="11" borderId="59" xfId="0"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1" fillId="2" borderId="61"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1" fillId="2" borderId="64" xfId="0" applyFont="1" applyFill="1" applyBorder="1" applyAlignment="1">
      <alignment horizontal="center" vertical="center" wrapText="1"/>
    </xf>
    <xf numFmtId="0" fontId="38" fillId="0" borderId="0" xfId="4" applyFont="1" applyAlignment="1">
      <alignment horizontal="center" vertical="center" wrapText="1"/>
    </xf>
    <xf numFmtId="10" fontId="3" fillId="0" borderId="0" xfId="3" applyNumberFormat="1" applyFont="1" applyFill="1" applyBorder="1" applyAlignment="1">
      <alignment horizontal="right" vertical="center" wrapText="1"/>
    </xf>
    <xf numFmtId="0" fontId="39" fillId="0" borderId="0" xfId="0" applyFont="1"/>
    <xf numFmtId="0" fontId="13" fillId="0" borderId="0" xfId="0" applyFont="1"/>
    <xf numFmtId="0" fontId="40" fillId="8" borderId="5"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5" xfId="0" applyFont="1" applyFill="1" applyBorder="1" applyAlignment="1">
      <alignment horizontal="center" vertical="center" wrapText="1"/>
    </xf>
    <xf numFmtId="0" fontId="39" fillId="0" borderId="6" xfId="0" applyFont="1" applyBorder="1" applyAlignment="1">
      <alignment horizontal="center" vertical="center"/>
    </xf>
    <xf numFmtId="0" fontId="13" fillId="0" borderId="7" xfId="0" applyFont="1" applyBorder="1" applyAlignment="1">
      <alignment horizontal="center" vertical="center"/>
    </xf>
    <xf numFmtId="43" fontId="13" fillId="0" borderId="7" xfId="1" applyFont="1" applyFill="1" applyBorder="1" applyAlignment="1">
      <alignment horizontal="center" vertical="center" wrapText="1"/>
    </xf>
    <xf numFmtId="44" fontId="13" fillId="0" borderId="7" xfId="2"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9" fillId="0" borderId="0" xfId="0" applyFont="1" applyAlignment="1">
      <alignment vertical="center"/>
    </xf>
    <xf numFmtId="0" fontId="13" fillId="0" borderId="9" xfId="4" applyFont="1" applyBorder="1" applyAlignment="1">
      <alignment horizontal="center" vertical="center"/>
    </xf>
    <xf numFmtId="0" fontId="13" fillId="0" borderId="65" xfId="0" applyFont="1" applyBorder="1" applyAlignment="1">
      <alignment vertical="center" wrapText="1"/>
    </xf>
    <xf numFmtId="0" fontId="13" fillId="0" borderId="65" xfId="0" applyFont="1" applyBorder="1" applyAlignment="1">
      <alignment horizontal="center" vertical="center"/>
    </xf>
    <xf numFmtId="43" fontId="13" fillId="0" borderId="65" xfId="1" applyFont="1" applyFill="1" applyBorder="1" applyAlignment="1">
      <alignment horizontal="center" vertical="center" wrapText="1"/>
    </xf>
    <xf numFmtId="44" fontId="13" fillId="0" borderId="65" xfId="2" applyFont="1" applyFill="1" applyBorder="1" applyAlignment="1">
      <alignment horizontal="center" vertical="center" wrapText="1"/>
    </xf>
    <xf numFmtId="10" fontId="39" fillId="0" borderId="65" xfId="3" applyNumberFormat="1" applyFont="1" applyBorder="1" applyAlignment="1">
      <alignment horizontal="center" vertical="center"/>
    </xf>
    <xf numFmtId="10" fontId="39" fillId="0" borderId="10" xfId="0" applyNumberFormat="1" applyFont="1" applyBorder="1" applyAlignment="1">
      <alignment horizontal="center" vertical="center"/>
    </xf>
    <xf numFmtId="0" fontId="13" fillId="0" borderId="0" xfId="4" applyFont="1" applyAlignment="1">
      <alignment horizontal="center" vertical="center"/>
    </xf>
    <xf numFmtId="0" fontId="13" fillId="0" borderId="66" xfId="4" applyFont="1" applyBorder="1" applyAlignment="1">
      <alignment horizontal="center" vertical="center"/>
    </xf>
    <xf numFmtId="0" fontId="13" fillId="0" borderId="48" xfId="4" applyFont="1" applyBorder="1" applyAlignment="1">
      <alignment vertical="center" wrapText="1"/>
    </xf>
    <xf numFmtId="0" fontId="13" fillId="0" borderId="48" xfId="4" applyFont="1" applyBorder="1" applyAlignment="1">
      <alignment horizontal="center" vertical="center"/>
    </xf>
    <xf numFmtId="44" fontId="39" fillId="0" borderId="48" xfId="2" applyFont="1" applyBorder="1" applyAlignment="1">
      <alignment vertical="center"/>
    </xf>
    <xf numFmtId="0" fontId="13" fillId="0" borderId="0" xfId="0" applyFont="1" applyAlignment="1">
      <alignment horizontal="center" vertical="center"/>
    </xf>
    <xf numFmtId="0" fontId="39" fillId="0" borderId="11" xfId="0" applyFont="1" applyBorder="1"/>
    <xf numFmtId="0" fontId="39" fillId="0" borderId="12" xfId="0" applyFont="1" applyBorder="1"/>
    <xf numFmtId="43" fontId="39" fillId="0" borderId="12" xfId="1" applyFont="1" applyBorder="1"/>
    <xf numFmtId="0" fontId="39" fillId="0" borderId="13" xfId="0" applyFont="1" applyBorder="1"/>
    <xf numFmtId="43" fontId="39" fillId="0" borderId="0" xfId="1" applyFont="1" applyBorder="1"/>
    <xf numFmtId="0" fontId="13" fillId="0" borderId="0" xfId="4" applyFont="1" applyAlignment="1">
      <alignment vertical="center"/>
    </xf>
    <xf numFmtId="0" fontId="40" fillId="8" borderId="67" xfId="0" applyFont="1" applyFill="1" applyBorder="1" applyAlignment="1">
      <alignment horizontal="center" vertical="center"/>
    </xf>
    <xf numFmtId="0" fontId="38" fillId="8" borderId="67" xfId="0" applyFont="1" applyFill="1" applyBorder="1" applyAlignment="1">
      <alignment horizontal="center" vertical="center"/>
    </xf>
    <xf numFmtId="0" fontId="38" fillId="8" borderId="67" xfId="0" applyFont="1" applyFill="1" applyBorder="1" applyAlignment="1">
      <alignment horizontal="center" vertical="center" wrapText="1"/>
    </xf>
    <xf numFmtId="0" fontId="40" fillId="8" borderId="67" xfId="0" applyFont="1" applyFill="1" applyBorder="1" applyAlignment="1">
      <alignment horizontal="center" vertical="center" wrapText="1"/>
    </xf>
    <xf numFmtId="0" fontId="39" fillId="0" borderId="7" xfId="0" applyFont="1" applyBorder="1" applyAlignment="1">
      <alignment vertical="center"/>
    </xf>
    <xf numFmtId="44" fontId="39" fillId="0" borderId="65" xfId="0" applyNumberFormat="1" applyFont="1" applyBorder="1" applyAlignment="1">
      <alignment vertical="center"/>
    </xf>
    <xf numFmtId="10" fontId="39" fillId="0" borderId="10" xfId="3" applyNumberFormat="1"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left" vertical="center"/>
    </xf>
    <xf numFmtId="0" fontId="9" fillId="0" borderId="0" xfId="0" applyFont="1" applyAlignment="1">
      <alignment vertical="center"/>
    </xf>
    <xf numFmtId="0" fontId="2" fillId="0" borderId="0" xfId="0" applyFont="1" applyAlignment="1">
      <alignment horizontal="left" vertical="center" wrapText="1"/>
    </xf>
    <xf numFmtId="0" fontId="9" fillId="0" borderId="0" xfId="0" applyFont="1" applyAlignment="1">
      <alignment vertical="center" wrapText="1"/>
    </xf>
    <xf numFmtId="0" fontId="2" fillId="0" borderId="0" xfId="0" applyFont="1" applyAlignment="1">
      <alignment vertical="center"/>
    </xf>
    <xf numFmtId="43" fontId="2" fillId="0" borderId="0" xfId="1" applyFont="1" applyFill="1" applyBorder="1" applyAlignment="1">
      <alignment horizontal="center" vertical="center" wrapText="1"/>
    </xf>
    <xf numFmtId="10" fontId="9" fillId="0" borderId="0" xfId="3" applyNumberFormat="1" applyFont="1" applyFill="1" applyBorder="1" applyAlignment="1">
      <alignment horizontal="left" vertical="center"/>
    </xf>
    <xf numFmtId="44" fontId="9" fillId="0" borderId="0" xfId="2" applyFont="1" applyFill="1" applyBorder="1" applyAlignment="1">
      <alignment horizontal="center" vertical="center" wrapText="1"/>
    </xf>
    <xf numFmtId="0" fontId="2" fillId="0" borderId="0" xfId="0" applyFont="1" applyAlignment="1">
      <alignment horizontal="center" vertical="center" wrapText="1"/>
    </xf>
    <xf numFmtId="10" fontId="9" fillId="0" borderId="0" xfId="3" applyNumberFormat="1" applyFont="1" applyFill="1" applyBorder="1" applyAlignment="1">
      <alignment horizontal="left" vertical="center" wrapText="1"/>
    </xf>
    <xf numFmtId="0" fontId="42" fillId="0" borderId="0" xfId="0" applyFont="1"/>
    <xf numFmtId="0" fontId="42" fillId="0" borderId="0" xfId="0" applyFont="1" applyAlignment="1">
      <alignment horizontal="center" vertical="center"/>
    </xf>
    <xf numFmtId="0" fontId="9" fillId="0" borderId="0" xfId="0" applyFont="1" applyAlignment="1">
      <alignment horizontal="center" vertical="center" wrapText="1"/>
    </xf>
    <xf numFmtId="10" fontId="2" fillId="10" borderId="0" xfId="0" applyNumberFormat="1" applyFont="1" applyFill="1" applyAlignment="1">
      <alignment horizontal="center" vertical="top" wrapText="1"/>
    </xf>
    <xf numFmtId="10" fontId="9" fillId="0" borderId="0" xfId="3" applyNumberFormat="1" applyFont="1" applyFill="1" applyBorder="1" applyAlignment="1">
      <alignment vertical="center" wrapText="1"/>
    </xf>
    <xf numFmtId="0" fontId="2" fillId="10" borderId="0" xfId="0" applyFont="1" applyFill="1" applyAlignment="1">
      <alignment vertical="top" wrapText="1"/>
    </xf>
    <xf numFmtId="43" fontId="39" fillId="0" borderId="0" xfId="1" applyFont="1"/>
    <xf numFmtId="43" fontId="40" fillId="0" borderId="0" xfId="1" applyFont="1" applyAlignment="1">
      <alignment horizontal="center" vertical="center"/>
    </xf>
    <xf numFmtId="43" fontId="39" fillId="0" borderId="0" xfId="1" applyFont="1" applyAlignment="1">
      <alignment vertical="center"/>
    </xf>
    <xf numFmtId="43" fontId="13" fillId="0" borderId="0" xfId="1" applyFont="1" applyAlignment="1">
      <alignment horizontal="center" vertical="center"/>
    </xf>
    <xf numFmtId="43" fontId="13" fillId="0" borderId="0" xfId="1" applyFont="1" applyAlignment="1">
      <alignment horizontal="center"/>
    </xf>
    <xf numFmtId="43" fontId="13" fillId="0" borderId="0" xfId="1" applyFont="1" applyAlignment="1">
      <alignment vertical="center"/>
    </xf>
    <xf numFmtId="43" fontId="13" fillId="0" borderId="0" xfId="1" applyFont="1" applyAlignment="1">
      <alignment horizontal="left" vertical="center"/>
    </xf>
    <xf numFmtId="0" fontId="0" fillId="0" borderId="0" xfId="0" applyBorder="1" applyAlignment="1">
      <alignment wrapText="1"/>
    </xf>
    <xf numFmtId="43" fontId="0" fillId="0" borderId="0" xfId="0" applyNumberFormat="1" applyBorder="1"/>
    <xf numFmtId="43" fontId="0" fillId="0" borderId="0" xfId="0" applyNumberFormat="1"/>
    <xf numFmtId="0" fontId="0" fillId="0" borderId="0" xfId="0" applyFill="1" applyBorder="1"/>
    <xf numFmtId="0" fontId="36" fillId="0" borderId="0" xfId="0" applyFont="1" applyBorder="1"/>
    <xf numFmtId="0" fontId="45" fillId="0" borderId="0" xfId="0" applyFont="1" applyBorder="1"/>
    <xf numFmtId="0" fontId="36" fillId="0" borderId="0" xfId="0" applyFont="1" applyFill="1" applyBorder="1"/>
    <xf numFmtId="0" fontId="46" fillId="0" borderId="0" xfId="0" applyFont="1"/>
    <xf numFmtId="0" fontId="36" fillId="0" borderId="0" xfId="0" applyFont="1" applyAlignment="1"/>
    <xf numFmtId="0" fontId="36" fillId="0" borderId="0" xfId="0" applyFont="1" applyBorder="1" applyAlignment="1"/>
    <xf numFmtId="0" fontId="0" fillId="12" borderId="0" xfId="0" applyFill="1" applyBorder="1" applyAlignment="1">
      <alignment horizontal="center" vertical="center"/>
    </xf>
    <xf numFmtId="0" fontId="0" fillId="12" borderId="0" xfId="0" applyFill="1" applyBorder="1"/>
    <xf numFmtId="0" fontId="0" fillId="12" borderId="0" xfId="0" applyFill="1"/>
    <xf numFmtId="0" fontId="48" fillId="0" borderId="0" xfId="0" applyFont="1" applyBorder="1" applyAlignment="1">
      <alignment horizontal="left"/>
    </xf>
    <xf numFmtId="0" fontId="50" fillId="0" borderId="0" xfId="0" applyFont="1" applyBorder="1" applyAlignment="1"/>
    <xf numFmtId="0" fontId="51" fillId="0" borderId="0" xfId="0" applyFont="1" applyBorder="1" applyAlignment="1"/>
    <xf numFmtId="0" fontId="51" fillId="0" borderId="0" xfId="0" applyFont="1" applyAlignment="1"/>
    <xf numFmtId="0" fontId="51" fillId="0" borderId="0" xfId="0" applyFont="1"/>
    <xf numFmtId="0" fontId="51" fillId="0" borderId="0" xfId="0" applyFont="1" applyBorder="1"/>
    <xf numFmtId="0" fontId="51" fillId="0" borderId="0" xfId="0" applyFont="1" applyBorder="1" applyAlignment="1">
      <alignment wrapText="1"/>
    </xf>
    <xf numFmtId="0" fontId="51" fillId="0" borderId="0" xfId="0" applyFont="1" applyBorder="1" applyAlignment="1">
      <alignment horizontal="left" vertical="top" wrapText="1"/>
    </xf>
    <xf numFmtId="0" fontId="5" fillId="2" borderId="1" xfId="4" applyFont="1" applyFill="1" applyBorder="1" applyAlignment="1">
      <alignment horizontal="center" vertical="center" wrapText="1"/>
    </xf>
    <xf numFmtId="0" fontId="3" fillId="3" borderId="2" xfId="0" quotePrefix="1" applyFont="1" applyFill="1" applyBorder="1" applyAlignment="1">
      <alignment horizontal="center" vertical="center"/>
    </xf>
    <xf numFmtId="0" fontId="3" fillId="3" borderId="3" xfId="0" quotePrefix="1" applyFont="1" applyFill="1" applyBorder="1" applyAlignment="1">
      <alignment horizontal="center" vertical="center"/>
    </xf>
    <xf numFmtId="0" fontId="3" fillId="3" borderId="4" xfId="0" quotePrefix="1" applyFont="1" applyFill="1" applyBorder="1" applyAlignment="1">
      <alignment horizontal="center" vertical="center"/>
    </xf>
    <xf numFmtId="4" fontId="3" fillId="3" borderId="5" xfId="0" applyNumberFormat="1" applyFont="1" applyFill="1" applyBorder="1" applyAlignment="1">
      <alignment horizontal="center" vertical="center" wrapText="1"/>
    </xf>
    <xf numFmtId="0" fontId="0" fillId="0" borderId="24" xfId="4" applyFont="1" applyBorder="1" applyAlignment="1">
      <alignment horizontal="left" vertical="top" wrapText="1"/>
    </xf>
    <xf numFmtId="0" fontId="0" fillId="0" borderId="25" xfId="4" applyFont="1" applyBorder="1" applyAlignment="1">
      <alignment horizontal="left" vertical="top" wrapText="1"/>
    </xf>
    <xf numFmtId="0" fontId="0" fillId="0" borderId="16" xfId="4" applyFont="1" applyBorder="1" applyAlignment="1">
      <alignment horizontal="left" vertical="top" wrapText="1"/>
    </xf>
    <xf numFmtId="0" fontId="0" fillId="0" borderId="26" xfId="0" applyBorder="1" applyAlignment="1">
      <alignment horizontal="center"/>
    </xf>
    <xf numFmtId="0" fontId="0" fillId="0" borderId="27" xfId="0"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5" applyFont="1" applyBorder="1" applyAlignment="1">
      <alignment horizontal="left" vertical="top"/>
    </xf>
    <xf numFmtId="0" fontId="9" fillId="0" borderId="27" xfId="5" applyFont="1" applyBorder="1" applyAlignment="1">
      <alignment horizontal="left" vertical="top"/>
    </xf>
    <xf numFmtId="0" fontId="9" fillId="0" borderId="0" xfId="5" applyFont="1" applyBorder="1" applyAlignment="1">
      <alignment horizontal="left" vertical="top"/>
    </xf>
    <xf numFmtId="0" fontId="14" fillId="0" borderId="0" xfId="0" applyFont="1" applyAlignment="1">
      <alignment horizontal="center" textRotation="90"/>
    </xf>
    <xf numFmtId="0" fontId="13" fillId="0" borderId="24" xfId="6" applyNumberFormat="1" applyFont="1" applyFill="1" applyBorder="1" applyAlignment="1" applyProtection="1">
      <alignment horizontal="left" wrapText="1"/>
    </xf>
    <xf numFmtId="0" fontId="13" fillId="0" borderId="16" xfId="6" applyNumberFormat="1" applyFont="1" applyFill="1" applyBorder="1" applyAlignment="1" applyProtection="1">
      <alignment horizontal="left" wrapText="1"/>
    </xf>
    <xf numFmtId="0" fontId="13" fillId="0" borderId="25" xfId="6" applyNumberFormat="1" applyFont="1" applyFill="1" applyBorder="1" applyAlignment="1" applyProtection="1">
      <alignment horizontal="left" wrapText="1"/>
    </xf>
    <xf numFmtId="0" fontId="5" fillId="2" borderId="0" xfId="4" applyFont="1" applyFill="1" applyAlignment="1">
      <alignment horizontal="center" vertical="center" wrapText="1"/>
    </xf>
    <xf numFmtId="0" fontId="13" fillId="0" borderId="18" xfId="4" applyFont="1" applyBorder="1" applyAlignment="1">
      <alignment horizontal="left" wrapText="1"/>
    </xf>
    <xf numFmtId="0" fontId="13" fillId="0" borderId="19" xfId="4" applyFont="1" applyBorder="1" applyAlignment="1">
      <alignment horizontal="left" wrapText="1"/>
    </xf>
    <xf numFmtId="0" fontId="13" fillId="0" borderId="20" xfId="4" applyFont="1" applyBorder="1" applyAlignment="1">
      <alignment horizontal="left" wrapText="1"/>
    </xf>
    <xf numFmtId="10" fontId="13" fillId="5" borderId="18" xfId="4" applyNumberFormat="1" applyFont="1" applyFill="1" applyBorder="1" applyAlignment="1" applyProtection="1">
      <alignment horizontal="center"/>
      <protection locked="0"/>
    </xf>
    <xf numFmtId="10" fontId="13" fillId="5" borderId="20" xfId="4" applyNumberFormat="1" applyFont="1" applyFill="1" applyBorder="1" applyAlignment="1" applyProtection="1">
      <alignment horizontal="center"/>
      <protection locked="0"/>
    </xf>
    <xf numFmtId="0" fontId="13" fillId="0" borderId="18" xfId="4" applyFont="1" applyBorder="1" applyAlignment="1">
      <alignment horizontal="left"/>
    </xf>
    <xf numFmtId="0" fontId="13" fillId="0" borderId="19" xfId="4" applyFont="1" applyBorder="1" applyAlignment="1">
      <alignment horizontal="left"/>
    </xf>
    <xf numFmtId="0" fontId="13" fillId="0" borderId="20" xfId="4" applyFont="1" applyBorder="1" applyAlignment="1">
      <alignment horizontal="left"/>
    </xf>
    <xf numFmtId="0" fontId="11" fillId="0" borderId="18" xfId="4" applyFont="1" applyBorder="1" applyAlignment="1">
      <alignment horizontal="center"/>
    </xf>
    <xf numFmtId="0" fontId="11" fillId="0" borderId="19" xfId="4" applyFont="1" applyBorder="1" applyAlignment="1">
      <alignment horizontal="center"/>
    </xf>
    <xf numFmtId="0" fontId="11" fillId="0" borderId="20" xfId="4" applyFont="1" applyBorder="1" applyAlignment="1">
      <alignment horizontal="center"/>
    </xf>
    <xf numFmtId="0" fontId="9" fillId="0" borderId="18" xfId="5" applyFont="1" applyBorder="1" applyAlignment="1">
      <alignment horizontal="left" vertical="top"/>
    </xf>
    <xf numFmtId="0" fontId="9" fillId="0" borderId="19" xfId="5" applyFont="1" applyBorder="1" applyAlignment="1">
      <alignment horizontal="left" vertical="top"/>
    </xf>
    <xf numFmtId="0" fontId="9" fillId="0" borderId="20" xfId="5" applyFont="1" applyBorder="1" applyAlignment="1">
      <alignment horizontal="left" vertical="top"/>
    </xf>
    <xf numFmtId="164" fontId="13" fillId="6" borderId="18" xfId="6" applyFont="1" applyFill="1" applyBorder="1" applyAlignment="1" applyProtection="1">
      <alignment horizontal="left"/>
      <protection locked="0"/>
    </xf>
    <xf numFmtId="164" fontId="13" fillId="6" borderId="19" xfId="6" applyFont="1" applyFill="1" applyBorder="1" applyAlignment="1" applyProtection="1">
      <alignment horizontal="left"/>
      <protection locked="0"/>
    </xf>
    <xf numFmtId="164" fontId="13" fillId="6" borderId="20" xfId="6" applyFont="1" applyFill="1" applyBorder="1" applyAlignment="1" applyProtection="1">
      <alignment horizontal="left"/>
      <protection locked="0"/>
    </xf>
    <xf numFmtId="4" fontId="16" fillId="0" borderId="22" xfId="4" applyNumberFormat="1" applyFont="1" applyBorder="1" applyAlignment="1">
      <alignment horizontal="center" vertical="center" wrapText="1"/>
    </xf>
    <xf numFmtId="4" fontId="16" fillId="0" borderId="17" xfId="4" applyNumberFormat="1" applyFont="1" applyBorder="1" applyAlignment="1">
      <alignment horizontal="center" vertical="center" wrapText="1"/>
    </xf>
    <xf numFmtId="4" fontId="16" fillId="0" borderId="23" xfId="4" applyNumberFormat="1" applyFont="1" applyBorder="1" applyAlignment="1">
      <alignment horizontal="center" vertical="center" wrapText="1"/>
    </xf>
    <xf numFmtId="4" fontId="16" fillId="0" borderId="24" xfId="4" applyNumberFormat="1" applyFont="1" applyBorder="1" applyAlignment="1">
      <alignment horizontal="center" vertical="center" wrapText="1"/>
    </xf>
    <xf numFmtId="4" fontId="16" fillId="0" borderId="16" xfId="4" applyNumberFormat="1" applyFont="1" applyBorder="1" applyAlignment="1">
      <alignment horizontal="center" vertical="center" wrapText="1"/>
    </xf>
    <xf numFmtId="4" fontId="16" fillId="0" borderId="25" xfId="4" applyNumberFormat="1" applyFont="1" applyBorder="1" applyAlignment="1">
      <alignment horizontal="center" vertical="center" wrapText="1"/>
    </xf>
    <xf numFmtId="0" fontId="9" fillId="0" borderId="21" xfId="4" applyFont="1" applyBorder="1" applyAlignment="1">
      <alignment horizontal="center" vertical="center"/>
    </xf>
    <xf numFmtId="0" fontId="9" fillId="0" borderId="15" xfId="4" applyFont="1" applyBorder="1" applyAlignment="1">
      <alignment horizontal="center" vertical="center"/>
    </xf>
    <xf numFmtId="0" fontId="0" fillId="0" borderId="18" xfId="4" applyFont="1" applyBorder="1" applyAlignment="1">
      <alignment horizontal="center" vertical="center" wrapText="1"/>
    </xf>
    <xf numFmtId="0" fontId="0" fillId="0" borderId="19" xfId="4" applyFont="1" applyBorder="1" applyAlignment="1">
      <alignment horizontal="center" vertical="center" wrapText="1"/>
    </xf>
    <xf numFmtId="0" fontId="0" fillId="0" borderId="20" xfId="4" applyFont="1" applyBorder="1" applyAlignment="1">
      <alignment horizontal="center" vertical="center" wrapText="1"/>
    </xf>
    <xf numFmtId="4" fontId="16" fillId="0" borderId="18" xfId="4" applyNumberFormat="1" applyFont="1" applyBorder="1" applyAlignment="1">
      <alignment horizontal="center" vertical="center"/>
    </xf>
    <xf numFmtId="4" fontId="16" fillId="0" borderId="19" xfId="4" applyNumberFormat="1" applyFont="1" applyBorder="1" applyAlignment="1">
      <alignment horizontal="center" vertical="center"/>
    </xf>
    <xf numFmtId="4" fontId="16" fillId="0" borderId="20" xfId="4" applyNumberFormat="1" applyFont="1" applyBorder="1" applyAlignment="1">
      <alignment horizontal="center" vertical="center"/>
    </xf>
    <xf numFmtId="0" fontId="16" fillId="0" borderId="22" xfId="4" applyFont="1" applyBorder="1" applyAlignment="1">
      <alignment horizontal="center" vertical="center"/>
    </xf>
    <xf numFmtId="0" fontId="16" fillId="0" borderId="17" xfId="4" applyFont="1" applyBorder="1" applyAlignment="1">
      <alignment horizontal="center" vertical="center"/>
    </xf>
    <xf numFmtId="0" fontId="16" fillId="0" borderId="23" xfId="4" applyFont="1" applyBorder="1" applyAlignment="1">
      <alignment horizontal="center" vertical="center"/>
    </xf>
    <xf numFmtId="0" fontId="16" fillId="0" borderId="24" xfId="4" applyFont="1" applyBorder="1" applyAlignment="1">
      <alignment horizontal="center" vertical="center"/>
    </xf>
    <xf numFmtId="0" fontId="16" fillId="0" borderId="16" xfId="4" applyFont="1" applyBorder="1" applyAlignment="1">
      <alignment horizontal="center" vertical="center"/>
    </xf>
    <xf numFmtId="0" fontId="16" fillId="0" borderId="25" xfId="4" applyFont="1" applyBorder="1" applyAlignment="1">
      <alignment horizontal="center" vertical="center"/>
    </xf>
    <xf numFmtId="0" fontId="16" fillId="0" borderId="21" xfId="4" applyFont="1" applyBorder="1" applyAlignment="1">
      <alignment horizontal="center" vertical="center"/>
    </xf>
    <xf numFmtId="0" fontId="16" fillId="0" borderId="15" xfId="4" applyFont="1" applyBorder="1" applyAlignment="1">
      <alignment horizontal="center" vertical="center"/>
    </xf>
    <xf numFmtId="4" fontId="16" fillId="0" borderId="21" xfId="4" applyNumberFormat="1" applyFont="1" applyBorder="1" applyAlignment="1">
      <alignment horizontal="center" vertical="center" wrapText="1"/>
    </xf>
    <xf numFmtId="4" fontId="16" fillId="0" borderId="15" xfId="4" applyNumberFormat="1" applyFont="1" applyBorder="1" applyAlignment="1">
      <alignment horizontal="center" vertical="center" wrapText="1"/>
    </xf>
    <xf numFmtId="0" fontId="13" fillId="0" borderId="18" xfId="4" applyFont="1" applyBorder="1" applyAlignment="1">
      <alignment horizontal="left" vertical="center" wrapText="1"/>
    </xf>
    <xf numFmtId="0" fontId="13" fillId="0" borderId="19" xfId="4" applyFont="1" applyBorder="1" applyAlignment="1">
      <alignment horizontal="left" vertical="center" wrapText="1"/>
    </xf>
    <xf numFmtId="0" fontId="13" fillId="0" borderId="20" xfId="4" applyFont="1" applyBorder="1" applyAlignment="1">
      <alignment horizontal="left" vertical="center" wrapText="1"/>
    </xf>
    <xf numFmtId="4" fontId="16" fillId="0" borderId="18" xfId="4" applyNumberFormat="1" applyFont="1" applyBorder="1" applyAlignment="1">
      <alignment horizontal="center" vertical="center" wrapText="1"/>
    </xf>
    <xf numFmtId="4" fontId="16" fillId="0" borderId="19" xfId="4" applyNumberFormat="1" applyFont="1" applyBorder="1" applyAlignment="1">
      <alignment horizontal="center" vertical="center" wrapText="1"/>
    </xf>
    <xf numFmtId="4" fontId="16" fillId="0" borderId="20" xfId="4" applyNumberFormat="1" applyFont="1" applyBorder="1" applyAlignment="1">
      <alignment horizontal="center" vertical="center" wrapText="1"/>
    </xf>
    <xf numFmtId="0" fontId="16" fillId="7" borderId="18" xfId="4" applyFont="1" applyFill="1" applyBorder="1" applyAlignment="1">
      <alignment horizontal="center" vertical="center" wrapText="1"/>
    </xf>
    <xf numFmtId="0" fontId="16" fillId="7" borderId="19" xfId="4" applyFont="1" applyFill="1" applyBorder="1" applyAlignment="1">
      <alignment horizontal="center" vertical="center" wrapText="1"/>
    </xf>
    <xf numFmtId="0" fontId="16" fillId="7" borderId="20" xfId="4" applyFont="1" applyFill="1" applyBorder="1" applyAlignment="1">
      <alignment horizontal="center" vertical="center" wrapText="1"/>
    </xf>
    <xf numFmtId="0" fontId="19" fillId="0" borderId="0" xfId="4" applyFont="1" applyAlignment="1">
      <alignment horizontal="left" vertical="center" indent="1"/>
    </xf>
    <xf numFmtId="0" fontId="0" fillId="0" borderId="0" xfId="4" applyFont="1" applyAlignment="1">
      <alignment horizontal="center" vertical="center"/>
    </xf>
    <xf numFmtId="0" fontId="20" fillId="0" borderId="0" xfId="0" applyFont="1" applyAlignment="1">
      <alignment horizontal="right" vertical="center"/>
    </xf>
    <xf numFmtId="0" fontId="21" fillId="0" borderId="0" xfId="0" applyFont="1" applyAlignment="1">
      <alignment horizontal="center"/>
    </xf>
    <xf numFmtId="0" fontId="20" fillId="0" borderId="0" xfId="0" applyFont="1" applyAlignment="1">
      <alignment horizontal="left" vertical="center"/>
    </xf>
    <xf numFmtId="0" fontId="20" fillId="0" borderId="0" xfId="0" applyFont="1" applyAlignment="1">
      <alignment horizontal="center" vertical="top"/>
    </xf>
    <xf numFmtId="0" fontId="0" fillId="0" borderId="17" xfId="4" applyFont="1" applyBorder="1" applyAlignment="1">
      <alignment horizontal="left" vertical="center"/>
    </xf>
    <xf numFmtId="49" fontId="0" fillId="5" borderId="18" xfId="4" applyNumberFormat="1" applyFont="1" applyFill="1" applyBorder="1" applyAlignment="1" applyProtection="1">
      <alignment horizontal="left" vertical="top" wrapText="1"/>
      <protection locked="0"/>
    </xf>
    <xf numFmtId="49" fontId="0" fillId="5" borderId="19" xfId="4" applyNumberFormat="1" applyFont="1" applyFill="1" applyBorder="1" applyAlignment="1" applyProtection="1">
      <alignment horizontal="left" vertical="top" wrapText="1"/>
      <protection locked="0"/>
    </xf>
    <xf numFmtId="49" fontId="0" fillId="5" borderId="20" xfId="4" applyNumberFormat="1" applyFont="1" applyFill="1" applyBorder="1" applyAlignment="1" applyProtection="1">
      <alignment horizontal="left" vertical="top" wrapText="1"/>
      <protection locked="0"/>
    </xf>
    <xf numFmtId="165" fontId="0" fillId="0" borderId="16" xfId="4" applyNumberFormat="1" applyFont="1" applyBorder="1" applyAlignment="1">
      <alignment horizontal="left"/>
    </xf>
    <xf numFmtId="166" fontId="0" fillId="0" borderId="16" xfId="4" applyNumberFormat="1" applyFont="1" applyBorder="1" applyAlignment="1">
      <alignment horizontal="left"/>
    </xf>
    <xf numFmtId="0" fontId="9" fillId="0" borderId="17" xfId="4" applyFont="1" applyBorder="1" applyAlignment="1">
      <alignment horizontal="left" vertical="center"/>
    </xf>
    <xf numFmtId="0" fontId="16" fillId="0" borderId="16" xfId="4" applyFont="1" applyBorder="1" applyAlignment="1">
      <alignment horizontal="left" vertical="center"/>
    </xf>
    <xf numFmtId="0" fontId="51" fillId="0" borderId="0" xfId="0" applyFont="1" applyBorder="1" applyAlignment="1">
      <alignment horizontal="left" vertical="top" wrapText="1"/>
    </xf>
    <xf numFmtId="0" fontId="26" fillId="0" borderId="28"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5" fillId="8" borderId="2"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33" fillId="0" borderId="0" xfId="0" applyFont="1" applyAlignment="1">
      <alignment horizontal="left" vertical="top" wrapText="1"/>
    </xf>
    <xf numFmtId="0" fontId="16" fillId="0" borderId="0" xfId="0" applyFont="1" applyAlignment="1">
      <alignment horizontal="center" vertical="center" wrapText="1"/>
    </xf>
    <xf numFmtId="0" fontId="28" fillId="10" borderId="0" xfId="0" applyFont="1" applyFill="1" applyAlignment="1">
      <alignment horizontal="center" wrapText="1"/>
    </xf>
    <xf numFmtId="0" fontId="0" fillId="0" borderId="0" xfId="0"/>
    <xf numFmtId="10" fontId="17" fillId="10" borderId="0" xfId="0" applyNumberFormat="1" applyFont="1" applyFill="1" applyAlignment="1">
      <alignment horizontal="center" vertical="top" wrapText="1"/>
    </xf>
    <xf numFmtId="10" fontId="16" fillId="0" borderId="0" xfId="3" applyNumberFormat="1" applyFont="1" applyFill="1" applyBorder="1" applyAlignment="1">
      <alignment horizontal="left" vertical="center" wrapText="1"/>
    </xf>
    <xf numFmtId="0" fontId="17" fillId="10" borderId="0" xfId="0" applyFont="1" applyFill="1" applyAlignment="1">
      <alignment horizontal="left" vertical="top" wrapText="1"/>
    </xf>
    <xf numFmtId="0" fontId="5" fillId="2" borderId="44" xfId="4" applyFont="1" applyFill="1" applyBorder="1" applyAlignment="1">
      <alignment horizontal="center" vertical="center" wrapText="1"/>
    </xf>
    <xf numFmtId="0" fontId="5" fillId="2" borderId="45" xfId="4" applyFont="1" applyFill="1" applyBorder="1" applyAlignment="1">
      <alignment horizontal="center" vertical="center" wrapText="1"/>
    </xf>
    <xf numFmtId="0" fontId="5" fillId="2" borderId="46" xfId="4" applyFont="1" applyFill="1" applyBorder="1" applyAlignment="1">
      <alignment horizontal="center" vertical="center" wrapText="1"/>
    </xf>
    <xf numFmtId="0" fontId="29" fillId="2" borderId="49" xfId="0" applyFont="1" applyFill="1" applyBorder="1" applyAlignment="1">
      <alignment horizontal="right" vertical="top" wrapText="1"/>
    </xf>
    <xf numFmtId="0" fontId="29" fillId="2" borderId="0" xfId="0" applyFont="1" applyFill="1" applyBorder="1" applyAlignment="1">
      <alignment horizontal="right" vertical="top" wrapText="1"/>
    </xf>
    <xf numFmtId="0" fontId="0" fillId="0" borderId="0" xfId="0" applyBorder="1" applyAlignment="1">
      <alignment horizontal="left" wrapText="1"/>
    </xf>
    <xf numFmtId="0" fontId="34" fillId="13" borderId="5" xfId="0" applyFont="1" applyFill="1" applyBorder="1" applyAlignment="1">
      <alignment horizontal="center"/>
    </xf>
    <xf numFmtId="49" fontId="16" fillId="2" borderId="5" xfId="4" applyNumberFormat="1" applyFont="1" applyFill="1" applyBorder="1" applyAlignment="1">
      <alignment horizontal="center"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39" xfId="0" applyFont="1" applyFill="1" applyBorder="1" applyAlignment="1">
      <alignment horizontal="left" vertical="center" wrapText="1"/>
    </xf>
    <xf numFmtId="0" fontId="30" fillId="0" borderId="40" xfId="0" applyFont="1" applyFill="1" applyBorder="1" applyAlignment="1">
      <alignment horizontal="left" vertical="center" wrapText="1"/>
    </xf>
    <xf numFmtId="44" fontId="30" fillId="0" borderId="39" xfId="0" applyNumberFormat="1" applyFont="1" applyFill="1" applyBorder="1" applyAlignment="1">
      <alignment horizontal="center" vertical="center" wrapText="1"/>
    </xf>
    <xf numFmtId="44" fontId="30" fillId="0" borderId="40" xfId="0" applyNumberFormat="1" applyFont="1" applyFill="1" applyBorder="1" applyAlignment="1">
      <alignment horizontal="center" vertical="center" wrapText="1"/>
    </xf>
    <xf numFmtId="10" fontId="30" fillId="0" borderId="39" xfId="3" applyNumberFormat="1" applyFont="1" applyFill="1" applyBorder="1" applyAlignment="1">
      <alignment horizontal="center" vertical="center" wrapText="1"/>
    </xf>
    <xf numFmtId="10" fontId="30" fillId="0" borderId="40" xfId="3" applyNumberFormat="1" applyFont="1" applyFill="1" applyBorder="1" applyAlignment="1">
      <alignment horizontal="center" vertical="center" wrapText="1"/>
    </xf>
    <xf numFmtId="0" fontId="29" fillId="12" borderId="1" xfId="0" applyFont="1" applyFill="1" applyBorder="1" applyAlignment="1">
      <alignment horizontal="right" vertical="top" wrapText="1"/>
    </xf>
    <xf numFmtId="0" fontId="30" fillId="11" borderId="41" xfId="0" applyFont="1" applyFill="1" applyBorder="1" applyAlignment="1">
      <alignment horizontal="left" vertical="center" wrapText="1"/>
    </xf>
    <xf numFmtId="0" fontId="30" fillId="11" borderId="40" xfId="0" applyFont="1" applyFill="1" applyBorder="1" applyAlignment="1">
      <alignment horizontal="left" vertical="center" wrapText="1"/>
    </xf>
    <xf numFmtId="44" fontId="30" fillId="11" borderId="41" xfId="0" applyNumberFormat="1" applyFont="1" applyFill="1" applyBorder="1" applyAlignment="1">
      <alignment horizontal="center" vertical="center" wrapText="1"/>
    </xf>
    <xf numFmtId="44" fontId="30" fillId="11" borderId="40" xfId="0" applyNumberFormat="1" applyFont="1" applyFill="1" applyBorder="1" applyAlignment="1">
      <alignment horizontal="center" vertical="center" wrapText="1"/>
    </xf>
    <xf numFmtId="10" fontId="30" fillId="11" borderId="41" xfId="3" applyNumberFormat="1" applyFont="1" applyFill="1" applyBorder="1" applyAlignment="1">
      <alignment horizontal="center" vertical="center" wrapText="1"/>
    </xf>
    <xf numFmtId="10" fontId="30" fillId="11" borderId="40" xfId="3" applyNumberFormat="1" applyFont="1" applyFill="1" applyBorder="1" applyAlignment="1">
      <alignment horizontal="center" vertical="center" wrapText="1"/>
    </xf>
    <xf numFmtId="0" fontId="30" fillId="11" borderId="41" xfId="0" applyFont="1" applyFill="1" applyBorder="1" applyAlignment="1">
      <alignment horizontal="center" vertical="center" wrapText="1"/>
    </xf>
    <xf numFmtId="0" fontId="30" fillId="11" borderId="40" xfId="0" applyFont="1" applyFill="1" applyBorder="1" applyAlignment="1">
      <alignment horizontal="center" vertical="center" wrapText="1"/>
    </xf>
    <xf numFmtId="0" fontId="30" fillId="11" borderId="39" xfId="0" applyFont="1" applyFill="1" applyBorder="1" applyAlignment="1">
      <alignment horizontal="center" vertical="center" wrapText="1"/>
    </xf>
    <xf numFmtId="0" fontId="30" fillId="11" borderId="39" xfId="0" applyFont="1" applyFill="1" applyBorder="1" applyAlignment="1">
      <alignment horizontal="left" vertical="center" wrapText="1"/>
    </xf>
    <xf numFmtId="0" fontId="28" fillId="10" borderId="0" xfId="0" applyFont="1" applyFill="1" applyAlignment="1">
      <alignment horizontal="left" vertical="top" wrapText="1"/>
    </xf>
    <xf numFmtId="0" fontId="29" fillId="10" borderId="0" xfId="0" applyFont="1" applyFill="1" applyAlignment="1">
      <alignment horizontal="left" vertical="top" wrapText="1"/>
    </xf>
    <xf numFmtId="44" fontId="30" fillId="11" borderId="39" xfId="0" applyNumberFormat="1" applyFont="1" applyFill="1" applyBorder="1" applyAlignment="1">
      <alignment horizontal="center" vertical="center" wrapText="1"/>
    </xf>
    <xf numFmtId="10" fontId="30" fillId="11" borderId="39" xfId="3" applyNumberFormat="1" applyFont="1" applyFill="1" applyBorder="1" applyAlignment="1">
      <alignment horizontal="center" vertical="center" wrapText="1"/>
    </xf>
    <xf numFmtId="0" fontId="37" fillId="2" borderId="0" xfId="4" applyFont="1" applyFill="1" applyAlignment="1">
      <alignment horizontal="center" vertical="center" wrapText="1"/>
    </xf>
    <xf numFmtId="0" fontId="39" fillId="0" borderId="12" xfId="0" applyFont="1" applyBorder="1" applyAlignment="1">
      <alignment horizontal="left" vertical="center" wrapText="1"/>
    </xf>
    <xf numFmtId="0" fontId="39" fillId="0" borderId="0" xfId="0" applyFont="1" applyAlignment="1">
      <alignment horizontal="left" vertical="center" wrapText="1"/>
    </xf>
    <xf numFmtId="0" fontId="43" fillId="0" borderId="0" xfId="0" applyFont="1" applyAlignment="1">
      <alignment horizontal="left" vertical="top" wrapText="1"/>
    </xf>
    <xf numFmtId="0" fontId="2" fillId="10" borderId="0" xfId="0" applyFont="1" applyFill="1" applyAlignment="1">
      <alignment horizontal="center" vertical="top" wrapText="1"/>
    </xf>
    <xf numFmtId="0" fontId="37" fillId="15" borderId="65" xfId="4" applyFont="1" applyFill="1" applyBorder="1" applyAlignment="1">
      <alignment horizontal="center" vertical="center" wrapText="1"/>
    </xf>
    <xf numFmtId="0" fontId="5" fillId="15" borderId="0" xfId="4" applyFont="1" applyFill="1" applyAlignment="1">
      <alignment horizontal="center" vertical="center"/>
    </xf>
    <xf numFmtId="0" fontId="38" fillId="8" borderId="5" xfId="0" applyFont="1" applyFill="1" applyBorder="1" applyAlignment="1">
      <alignment horizontal="center" vertical="center"/>
    </xf>
    <xf numFmtId="0" fontId="39" fillId="0" borderId="7" xfId="0" applyFont="1" applyBorder="1" applyAlignment="1">
      <alignment horizontal="left" vertical="center" wrapText="1"/>
    </xf>
    <xf numFmtId="0" fontId="39" fillId="0" borderId="65" xfId="0" applyFont="1" applyBorder="1" applyAlignment="1">
      <alignment horizontal="left" vertical="center" wrapText="1"/>
    </xf>
    <xf numFmtId="10" fontId="9" fillId="0" borderId="0" xfId="3" applyNumberFormat="1" applyFont="1" applyFill="1" applyBorder="1" applyAlignment="1">
      <alignment horizontal="center" vertical="center" wrapText="1"/>
    </xf>
    <xf numFmtId="43" fontId="0" fillId="0" borderId="0" xfId="1" applyFont="1" applyAlignment="1">
      <alignment vertical="center"/>
    </xf>
    <xf numFmtId="43" fontId="0" fillId="0" borderId="0" xfId="1" applyFont="1" applyFill="1" applyAlignment="1">
      <alignment vertical="center"/>
    </xf>
  </cellXfs>
  <cellStyles count="8">
    <cellStyle name="Moeda" xfId="2" builtinId="4"/>
    <cellStyle name="Moeda_Composicao BDI v2.1" xfId="6" xr:uid="{C4F20068-D8CF-467D-8875-CF8FBDDB4052}"/>
    <cellStyle name="Normal" xfId="0" builtinId="0"/>
    <cellStyle name="Normal 2" xfId="4" xr:uid="{F00C2E35-B207-4188-B38F-6247C198C9B1}"/>
    <cellStyle name="Normal_FICHA DE VERIFICAÇÃO PRELIMINAR - Plano R" xfId="5" xr:uid="{6A2E8D1C-B8BF-4FD1-86A7-CB3DBB3BD683}"/>
    <cellStyle name="Normal_Pesquisa no referencial 10 de maio de 2013" xfId="7" xr:uid="{D984AC71-61FA-403A-88ED-60BA47FBABA7}"/>
    <cellStyle name="Porcentagem" xfId="3" builtinId="5"/>
    <cellStyle name="Vírgula" xfId="1" builtinId="3"/>
  </cellStyles>
  <dxfs count="38">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ont>
        <b/>
        <i val="0"/>
        <condense val="0"/>
        <extend val="0"/>
      </font>
    </dxf>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color indexed="9"/>
      </font>
      <fill>
        <patternFill patternType="none">
          <fgColor indexed="64"/>
          <bgColor indexed="65"/>
        </patternFill>
      </fill>
      <border>
        <left/>
        <right/>
        <top style="thin">
          <color indexed="64"/>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11</xdr:row>
      <xdr:rowOff>28574</xdr:rowOff>
    </xdr:from>
    <xdr:to>
      <xdr:col>9</xdr:col>
      <xdr:colOff>561262</xdr:colOff>
      <xdr:row>53</xdr:row>
      <xdr:rowOff>190497</xdr:rowOff>
    </xdr:to>
    <xdr:pic>
      <xdr:nvPicPr>
        <xdr:cNvPr id="2" name="Imagem 1">
          <a:extLst>
            <a:ext uri="{FF2B5EF4-FFF2-40B4-BE49-F238E27FC236}">
              <a16:creationId xmlns:a16="http://schemas.microsoft.com/office/drawing/2014/main" id="{A4151F92-A9C4-4188-8F81-58C170C9C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7" y="2190749"/>
          <a:ext cx="6000035" cy="816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247650</xdr:colOff>
      <xdr:row>18</xdr:row>
      <xdr:rowOff>161925</xdr:rowOff>
    </xdr:from>
    <xdr:to>
      <xdr:col>9</xdr:col>
      <xdr:colOff>514350</xdr:colOff>
      <xdr:row>53</xdr:row>
      <xdr:rowOff>171450</xdr:rowOff>
    </xdr:to>
    <xdr:sp macro="" textlink="">
      <xdr:nvSpPr>
        <xdr:cNvPr id="3" name="Retângulo 2">
          <a:extLst>
            <a:ext uri="{FF2B5EF4-FFF2-40B4-BE49-F238E27FC236}">
              <a16:creationId xmlns:a16="http://schemas.microsoft.com/office/drawing/2014/main" id="{6FF58F24-7CF6-46BF-B51F-ECC03DFE1F18}"/>
            </a:ext>
          </a:extLst>
        </xdr:cNvPr>
        <xdr:cNvSpPr/>
      </xdr:nvSpPr>
      <xdr:spPr>
        <a:xfrm>
          <a:off x="4514850" y="3657600"/>
          <a:ext cx="1485900" cy="66770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DIVERSOS/DOC_CAIXA/PLANILHA_MULTIPLA_V3_05/PLANILHA_MULTIPLA_V3_05/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Luiz%20Augusto/TORITAMA/SINAPI%20-%202018/PLANILHA_MULTIPLA_V3_02/PLANILHA%20M&#218;LTIPLA%20V3.0.2_0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18">
          <cell r="F18" t="str">
            <v>(SELECIONAR)</v>
          </cell>
        </row>
        <row r="25">
          <cell r="F25">
            <v>43235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_CÁLCULOS"/>
      <sheetName val="ANEXO-2_BDI NÃO DES."/>
      <sheetName val="ANEXO-3_COMPOSIÇÕES"/>
      <sheetName val="ANEXO-4_ORÇ-BÁSICO"/>
      <sheetName val="BDI-NÃO DESONERADO"/>
      <sheetName val="ANEXO-5_CRONOGRAMA"/>
      <sheetName val="ANEXO-6_ITENS DE RELEVÂNCIA"/>
      <sheetName val="ANEXO-7_ENC. SOCIAIS"/>
      <sheetName val="BDI"/>
      <sheetName val="MENU"/>
      <sheetName val="DADOS"/>
      <sheetName val="NOVO"/>
      <sheetName val="ORÇAMENTO"/>
      <sheetName val="CÁLCULO"/>
      <sheetName val="EVENTOS"/>
      <sheetName val="CRONO"/>
      <sheetName val="CRONOPLE"/>
      <sheetName val="PLE"/>
      <sheetName val="QCI"/>
      <sheetName val="BM"/>
      <sheetName val="RRE"/>
      <sheetName val="OFÍCIO"/>
    </sheetNames>
    <sheetDataSet>
      <sheetData sheetId="0"/>
      <sheetData sheetId="1">
        <row r="5">
          <cell r="F5">
            <v>1.23E-2</v>
          </cell>
        </row>
        <row r="6">
          <cell r="F6">
            <v>7.400000000000001E-2</v>
          </cell>
        </row>
        <row r="7">
          <cell r="F7">
            <v>0.22120000000000001</v>
          </cell>
        </row>
        <row r="8">
          <cell r="F8">
            <v>4.0099999999999997E-2</v>
          </cell>
        </row>
        <row r="16">
          <cell r="F16"/>
        </row>
        <row r="17">
          <cell r="F17">
            <v>4.0000000000000001E-3</v>
          </cell>
        </row>
        <row r="18">
          <cell r="G18">
            <v>9.7000000000000003E-3</v>
          </cell>
        </row>
        <row r="22">
          <cell r="F22">
            <v>4.9299999999999997E-2</v>
          </cell>
        </row>
        <row r="23">
          <cell r="F23">
            <v>4.8999999999999998E-3</v>
          </cell>
        </row>
        <row r="24">
          <cell r="F24">
            <v>1.3899999999999999E-2</v>
          </cell>
        </row>
      </sheetData>
      <sheetData sheetId="2"/>
      <sheetData sheetId="3"/>
      <sheetData sheetId="4"/>
      <sheetData sheetId="5"/>
      <sheetData sheetId="6"/>
      <sheetData sheetId="7"/>
      <sheetData sheetId="8">
        <row r="138">
          <cell r="A138" t="str">
            <v>(SELECIONAR)</v>
          </cell>
        </row>
      </sheetData>
      <sheetData sheetId="9"/>
      <sheetData sheetId="10">
        <row r="5">
          <cell r="F5"/>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5B1B2-3F49-40D2-B631-FD95574A88C2}">
  <dimension ref="A1:R482"/>
  <sheetViews>
    <sheetView workbookViewId="0">
      <selection activeCell="O7" sqref="O7"/>
    </sheetView>
  </sheetViews>
  <sheetFormatPr defaultRowHeight="15" x14ac:dyDescent="0.25"/>
  <cols>
    <col min="3" max="3" width="11.140625" customWidth="1"/>
    <col min="4" max="4" width="41.85546875" customWidth="1"/>
    <col min="5" max="5" width="8.140625" customWidth="1"/>
    <col min="8" max="8" width="9.140625" customWidth="1"/>
    <col min="14" max="14" width="9.140625" style="79"/>
  </cols>
  <sheetData>
    <row r="1" spans="1:12" x14ac:dyDescent="0.25">
      <c r="A1" s="1"/>
      <c r="B1" s="1"/>
      <c r="C1" s="1"/>
      <c r="D1" s="1"/>
      <c r="E1" s="2"/>
      <c r="F1" s="2"/>
      <c r="G1" s="2"/>
      <c r="H1" s="2"/>
      <c r="I1" s="2"/>
      <c r="J1" s="2"/>
      <c r="K1" s="2"/>
      <c r="L1" s="3"/>
    </row>
    <row r="2" spans="1:12" ht="18" x14ac:dyDescent="0.25">
      <c r="A2" s="405" t="s">
        <v>0</v>
      </c>
      <c r="B2" s="405"/>
      <c r="C2" s="405"/>
      <c r="D2" s="405"/>
      <c r="E2" s="405"/>
      <c r="F2" s="405"/>
      <c r="G2" s="405"/>
      <c r="H2" s="405"/>
      <c r="I2" s="405"/>
      <c r="J2" s="405"/>
      <c r="K2" s="405"/>
      <c r="L2" s="405"/>
    </row>
    <row r="3" spans="1:12" x14ac:dyDescent="0.25">
      <c r="A3" s="1"/>
      <c r="B3" s="1"/>
      <c r="C3" s="1"/>
      <c r="D3" s="1"/>
      <c r="E3" s="2"/>
      <c r="F3" s="2"/>
      <c r="G3" s="2"/>
      <c r="H3" s="2"/>
      <c r="I3" s="2"/>
      <c r="J3" s="2"/>
      <c r="K3" s="2"/>
      <c r="L3" s="3"/>
    </row>
    <row r="4" spans="1:12" x14ac:dyDescent="0.25">
      <c r="A4" s="3" t="s">
        <v>1</v>
      </c>
      <c r="B4" s="3"/>
      <c r="C4" s="4"/>
      <c r="D4" s="5"/>
      <c r="E4" s="6"/>
      <c r="F4" s="6"/>
      <c r="G4" s="2"/>
      <c r="H4" s="2"/>
      <c r="I4" s="2"/>
      <c r="J4" s="2"/>
      <c r="K4" s="2"/>
      <c r="L4" s="3"/>
    </row>
    <row r="5" spans="1:12" x14ac:dyDescent="0.25">
      <c r="A5" s="3" t="s">
        <v>2</v>
      </c>
      <c r="B5" s="3"/>
      <c r="C5" s="3"/>
      <c r="D5" s="7"/>
      <c r="E5" s="8"/>
      <c r="F5" s="9"/>
      <c r="G5" s="2"/>
      <c r="H5" s="2"/>
      <c r="I5" s="2"/>
      <c r="J5" s="2"/>
      <c r="K5" s="2"/>
      <c r="L5" s="3"/>
    </row>
    <row r="6" spans="1:12" x14ac:dyDescent="0.25">
      <c r="A6" s="3" t="s">
        <v>242</v>
      </c>
      <c r="B6" s="3"/>
      <c r="C6" s="4"/>
      <c r="D6" s="7"/>
      <c r="E6" s="8"/>
      <c r="F6" s="10" t="s">
        <v>243</v>
      </c>
      <c r="G6" s="2"/>
      <c r="H6" s="2"/>
      <c r="I6" s="2"/>
      <c r="J6" s="2"/>
      <c r="K6" s="2"/>
      <c r="L6" s="3"/>
    </row>
    <row r="7" spans="1:12" ht="15.75" thickBot="1" x14ac:dyDescent="0.3">
      <c r="A7" s="3" t="s">
        <v>466</v>
      </c>
      <c r="B7" s="3"/>
      <c r="C7" s="4"/>
      <c r="D7" s="7"/>
      <c r="E7" s="8"/>
      <c r="F7" s="11"/>
      <c r="G7" s="2"/>
      <c r="H7" s="2"/>
      <c r="I7" s="2"/>
      <c r="J7" s="2"/>
      <c r="K7" s="2"/>
      <c r="L7" s="3"/>
    </row>
    <row r="8" spans="1:12" ht="15.75" thickBot="1" x14ac:dyDescent="0.3">
      <c r="A8" s="12"/>
      <c r="B8" s="12"/>
      <c r="C8" s="12"/>
      <c r="D8" s="13"/>
      <c r="E8" s="14"/>
      <c r="F8" s="406" t="s">
        <v>3</v>
      </c>
      <c r="G8" s="407"/>
      <c r="H8" s="407"/>
      <c r="I8" s="407"/>
      <c r="J8" s="407"/>
      <c r="K8" s="408"/>
      <c r="L8" s="409" t="s">
        <v>4</v>
      </c>
    </row>
    <row r="9" spans="1:12" ht="23.25" thickBot="1" x14ac:dyDescent="0.3">
      <c r="A9" s="15" t="s">
        <v>5</v>
      </c>
      <c r="B9" s="15" t="s">
        <v>6</v>
      </c>
      <c r="C9" s="15" t="s">
        <v>7</v>
      </c>
      <c r="D9" s="16" t="s">
        <v>8</v>
      </c>
      <c r="E9" s="17" t="s">
        <v>9</v>
      </c>
      <c r="F9" s="18" t="s">
        <v>10</v>
      </c>
      <c r="G9" s="19" t="s">
        <v>11</v>
      </c>
      <c r="H9" s="20" t="s">
        <v>45</v>
      </c>
      <c r="I9" s="20" t="s">
        <v>12</v>
      </c>
      <c r="J9" s="20" t="s">
        <v>13</v>
      </c>
      <c r="K9" s="20" t="s">
        <v>14</v>
      </c>
      <c r="L9" s="409"/>
    </row>
    <row r="10" spans="1:12" x14ac:dyDescent="0.25">
      <c r="A10" s="21" t="s">
        <v>15</v>
      </c>
      <c r="B10" s="22"/>
      <c r="C10" s="22"/>
      <c r="D10" s="23" t="s">
        <v>16</v>
      </c>
      <c r="E10" s="22"/>
      <c r="F10" s="24"/>
      <c r="G10" s="25"/>
      <c r="H10" s="26"/>
      <c r="I10" s="26"/>
      <c r="J10" s="26"/>
      <c r="K10" s="26"/>
      <c r="L10" s="27"/>
    </row>
    <row r="11" spans="1:12" x14ac:dyDescent="0.25">
      <c r="A11" s="28" t="s">
        <v>17</v>
      </c>
      <c r="B11" s="29" t="s">
        <v>18</v>
      </c>
      <c r="C11" s="29" t="s">
        <v>19</v>
      </c>
      <c r="D11" s="30" t="s">
        <v>20</v>
      </c>
      <c r="E11" s="31" t="s">
        <v>21</v>
      </c>
      <c r="F11" s="32"/>
      <c r="G11" s="33"/>
      <c r="H11" s="34"/>
      <c r="I11" s="34"/>
      <c r="J11" s="34"/>
      <c r="K11" s="34"/>
      <c r="L11" s="35">
        <v>1</v>
      </c>
    </row>
    <row r="12" spans="1:12" x14ac:dyDescent="0.25">
      <c r="A12" s="28"/>
      <c r="B12" s="29"/>
      <c r="C12" s="36"/>
      <c r="D12" s="30"/>
      <c r="E12" s="31"/>
      <c r="F12" s="32"/>
      <c r="G12" s="33"/>
      <c r="H12" s="34"/>
      <c r="I12" s="34"/>
      <c r="J12" s="34"/>
      <c r="K12" s="34"/>
      <c r="L12" s="37"/>
    </row>
    <row r="13" spans="1:12" x14ac:dyDescent="0.25">
      <c r="A13" s="38" t="s">
        <v>22</v>
      </c>
      <c r="B13" s="39"/>
      <c r="C13" s="40"/>
      <c r="D13" s="41" t="s">
        <v>23</v>
      </c>
      <c r="E13" s="39"/>
      <c r="F13" s="42"/>
      <c r="G13" s="42"/>
      <c r="H13" s="42"/>
      <c r="I13" s="42"/>
      <c r="J13" s="42"/>
      <c r="K13" s="42"/>
      <c r="L13" s="43"/>
    </row>
    <row r="14" spans="1:12" x14ac:dyDescent="0.25">
      <c r="A14" s="28" t="s">
        <v>24</v>
      </c>
      <c r="B14" s="29" t="s">
        <v>25</v>
      </c>
      <c r="C14" s="36" t="s">
        <v>19</v>
      </c>
      <c r="D14" s="30" t="s">
        <v>26</v>
      </c>
      <c r="E14" s="29" t="s">
        <v>27</v>
      </c>
      <c r="F14" s="44"/>
      <c r="G14" s="44">
        <v>3</v>
      </c>
      <c r="H14" s="44">
        <v>2</v>
      </c>
      <c r="I14" s="44"/>
      <c r="J14" s="44"/>
      <c r="K14" s="44"/>
      <c r="L14" s="45">
        <f>ROUND(PRODUCT(F14:K14),2)</f>
        <v>6</v>
      </c>
    </row>
    <row r="15" spans="1:12" x14ac:dyDescent="0.25">
      <c r="A15" s="28"/>
      <c r="B15" s="29"/>
      <c r="C15" s="36"/>
      <c r="D15" s="30"/>
      <c r="E15" s="29"/>
      <c r="F15" s="44"/>
      <c r="G15" s="44"/>
      <c r="H15" s="44"/>
      <c r="I15" s="44"/>
      <c r="J15" s="44"/>
      <c r="K15" s="44"/>
      <c r="L15" s="45"/>
    </row>
    <row r="16" spans="1:12" x14ac:dyDescent="0.25">
      <c r="A16" s="38" t="s">
        <v>28</v>
      </c>
      <c r="B16" s="52"/>
      <c r="C16" s="53"/>
      <c r="D16" s="41" t="s">
        <v>35</v>
      </c>
      <c r="E16" s="52"/>
      <c r="F16" s="42"/>
      <c r="G16" s="42"/>
      <c r="H16" s="42"/>
      <c r="I16" s="42"/>
      <c r="J16" s="42"/>
      <c r="K16" s="42"/>
      <c r="L16" s="43"/>
    </row>
    <row r="17" spans="1:17" ht="33.75" x14ac:dyDescent="0.25">
      <c r="A17" s="46" t="s">
        <v>29</v>
      </c>
      <c r="B17" s="47"/>
      <c r="C17" s="48"/>
      <c r="D17" s="49" t="s">
        <v>351</v>
      </c>
      <c r="E17" s="47"/>
      <c r="F17" s="50"/>
      <c r="G17" s="50"/>
      <c r="H17" s="50"/>
      <c r="I17" s="50"/>
      <c r="J17" s="50"/>
      <c r="K17" s="50"/>
      <c r="L17" s="51"/>
    </row>
    <row r="18" spans="1:17" x14ac:dyDescent="0.25">
      <c r="A18" s="38" t="s">
        <v>30</v>
      </c>
      <c r="B18" s="52"/>
      <c r="C18" s="53"/>
      <c r="D18" s="41" t="s">
        <v>54</v>
      </c>
      <c r="E18" s="52"/>
      <c r="F18" s="42"/>
      <c r="G18" s="42"/>
      <c r="H18" s="42"/>
      <c r="I18" s="42"/>
      <c r="J18" s="42"/>
      <c r="K18" s="42"/>
      <c r="L18" s="43"/>
    </row>
    <row r="19" spans="1:17" ht="22.5" x14ac:dyDescent="0.25">
      <c r="A19" s="28" t="s">
        <v>46</v>
      </c>
      <c r="B19" s="29" t="s">
        <v>468</v>
      </c>
      <c r="C19" s="36" t="s">
        <v>464</v>
      </c>
      <c r="D19" s="30" t="s">
        <v>469</v>
      </c>
      <c r="E19" s="29" t="s">
        <v>27</v>
      </c>
      <c r="F19" s="44">
        <v>6</v>
      </c>
      <c r="G19" s="44">
        <f>(11*20)+10</f>
        <v>230</v>
      </c>
      <c r="H19" s="44"/>
      <c r="I19" s="44"/>
      <c r="J19" s="44"/>
      <c r="K19" s="44"/>
      <c r="L19" s="45">
        <f>G19*F19</f>
        <v>1380</v>
      </c>
      <c r="N19" s="79" t="s">
        <v>467</v>
      </c>
    </row>
    <row r="20" spans="1:17" x14ac:dyDescent="0.25">
      <c r="A20" s="28"/>
      <c r="B20" s="29"/>
      <c r="C20" s="36"/>
      <c r="D20" s="30"/>
      <c r="E20" s="29"/>
      <c r="F20" s="44"/>
      <c r="G20" s="44"/>
      <c r="H20" s="44"/>
      <c r="I20" s="44"/>
      <c r="J20" s="44"/>
      <c r="K20" s="44"/>
      <c r="L20" s="45"/>
    </row>
    <row r="21" spans="1:17" ht="56.25" x14ac:dyDescent="0.25">
      <c r="A21" s="28" t="s">
        <v>51</v>
      </c>
      <c r="B21" s="29" t="s">
        <v>37</v>
      </c>
      <c r="C21" s="36" t="s">
        <v>369</v>
      </c>
      <c r="D21" s="30" t="s">
        <v>38</v>
      </c>
      <c r="E21" s="29" t="s">
        <v>33</v>
      </c>
      <c r="F21" s="44"/>
      <c r="G21" s="44">
        <v>230</v>
      </c>
      <c r="H21" s="44"/>
      <c r="I21" s="44">
        <v>2</v>
      </c>
      <c r="J21" s="44"/>
      <c r="K21" s="44"/>
      <c r="L21" s="45">
        <f>G21*I21</f>
        <v>460</v>
      </c>
      <c r="N21" s="79" t="s">
        <v>475</v>
      </c>
    </row>
    <row r="22" spans="1:17" s="55" customFormat="1" x14ac:dyDescent="0.25">
      <c r="A22" s="28"/>
      <c r="B22" s="29"/>
      <c r="C22" s="36"/>
      <c r="D22" s="30"/>
      <c r="E22" s="29"/>
      <c r="F22" s="44"/>
      <c r="G22" s="44"/>
      <c r="H22" s="44"/>
      <c r="I22" s="44"/>
      <c r="J22" s="44"/>
      <c r="K22" s="44"/>
      <c r="L22" s="54"/>
      <c r="N22" s="86"/>
    </row>
    <row r="23" spans="1:17" ht="33.75" x14ac:dyDescent="0.25">
      <c r="A23" s="28" t="s">
        <v>52</v>
      </c>
      <c r="B23" s="29" t="s">
        <v>40</v>
      </c>
      <c r="C23" s="36" t="s">
        <v>465</v>
      </c>
      <c r="D23" s="30" t="s">
        <v>41</v>
      </c>
      <c r="E23" s="29" t="s">
        <v>33</v>
      </c>
      <c r="F23" s="44"/>
      <c r="G23" s="44">
        <v>230</v>
      </c>
      <c r="H23" s="44"/>
      <c r="I23" s="44">
        <v>2</v>
      </c>
      <c r="J23" s="44"/>
      <c r="K23" s="44"/>
      <c r="L23" s="45">
        <f>G23*I23</f>
        <v>460</v>
      </c>
      <c r="N23" s="88" t="s">
        <v>476</v>
      </c>
      <c r="O23" s="66"/>
      <c r="P23" s="66"/>
      <c r="Q23" s="66"/>
    </row>
    <row r="24" spans="1:17" x14ac:dyDescent="0.25">
      <c r="A24" s="28"/>
      <c r="B24" s="29"/>
      <c r="C24" s="36"/>
      <c r="D24" s="30"/>
      <c r="E24" s="29"/>
      <c r="F24" s="44"/>
      <c r="G24" s="44"/>
      <c r="H24" s="44"/>
      <c r="I24" s="44"/>
      <c r="J24" s="44"/>
      <c r="K24" s="44"/>
      <c r="L24" s="45"/>
    </row>
    <row r="25" spans="1:17" ht="33.75" x14ac:dyDescent="0.25">
      <c r="A25" s="28" t="s">
        <v>53</v>
      </c>
      <c r="B25" s="29" t="s">
        <v>43</v>
      </c>
      <c r="C25" s="36" t="s">
        <v>19</v>
      </c>
      <c r="D25" s="30" t="s">
        <v>44</v>
      </c>
      <c r="E25" s="29" t="s">
        <v>27</v>
      </c>
      <c r="F25" s="44">
        <v>6</v>
      </c>
      <c r="G25" s="44">
        <v>230</v>
      </c>
      <c r="H25" s="44"/>
      <c r="I25" s="44"/>
      <c r="J25" s="44"/>
      <c r="K25" s="44"/>
      <c r="L25" s="45">
        <f>G25*F25</f>
        <v>1380</v>
      </c>
    </row>
    <row r="26" spans="1:17" x14ac:dyDescent="0.25">
      <c r="A26" s="56"/>
      <c r="B26" s="57"/>
      <c r="C26" s="57"/>
      <c r="D26" s="57"/>
      <c r="E26" s="57"/>
      <c r="F26" s="57"/>
      <c r="G26" s="57"/>
      <c r="H26" s="57"/>
      <c r="I26" s="57"/>
      <c r="J26" s="57"/>
      <c r="K26" s="57"/>
      <c r="L26" s="58"/>
    </row>
    <row r="27" spans="1:17" ht="22.5" x14ac:dyDescent="0.25">
      <c r="A27" s="38" t="s">
        <v>47</v>
      </c>
      <c r="B27" s="52"/>
      <c r="C27" s="53"/>
      <c r="D27" s="41" t="s">
        <v>352</v>
      </c>
      <c r="E27" s="52"/>
      <c r="F27" s="42"/>
      <c r="G27" s="42"/>
      <c r="H27" s="42"/>
      <c r="I27" s="42"/>
      <c r="J27" s="42"/>
      <c r="K27" s="42"/>
      <c r="L27" s="43"/>
    </row>
    <row r="28" spans="1:17" ht="22.5" x14ac:dyDescent="0.25">
      <c r="A28" s="28" t="s">
        <v>48</v>
      </c>
      <c r="B28" s="29" t="s">
        <v>468</v>
      </c>
      <c r="C28" s="36" t="s">
        <v>464</v>
      </c>
      <c r="D28" s="30" t="s">
        <v>469</v>
      </c>
      <c r="E28" s="29" t="s">
        <v>27</v>
      </c>
      <c r="F28" s="44">
        <v>6</v>
      </c>
      <c r="G28" s="44">
        <f>(2*20)+17.56</f>
        <v>57.56</v>
      </c>
      <c r="H28" s="44"/>
      <c r="I28" s="44"/>
      <c r="J28" s="44"/>
      <c r="K28" s="44"/>
      <c r="L28" s="45">
        <f>G28*F28</f>
        <v>345.36</v>
      </c>
    </row>
    <row r="29" spans="1:17" x14ac:dyDescent="0.25">
      <c r="A29" s="28"/>
      <c r="B29" s="29"/>
      <c r="C29" s="36"/>
      <c r="D29" s="30"/>
      <c r="E29" s="29"/>
      <c r="F29" s="44"/>
      <c r="G29" s="44"/>
      <c r="H29" s="44"/>
      <c r="I29" s="44"/>
      <c r="J29" s="44"/>
      <c r="K29" s="44"/>
      <c r="L29" s="45"/>
    </row>
    <row r="30" spans="1:17" ht="56.25" x14ac:dyDescent="0.25">
      <c r="A30" s="28" t="s">
        <v>49</v>
      </c>
      <c r="B30" s="29" t="s">
        <v>37</v>
      </c>
      <c r="C30" s="36" t="s">
        <v>369</v>
      </c>
      <c r="D30" s="30" t="s">
        <v>38</v>
      </c>
      <c r="E30" s="29" t="s">
        <v>33</v>
      </c>
      <c r="F30" s="44"/>
      <c r="G30" s="44">
        <v>57.56</v>
      </c>
      <c r="H30" s="44"/>
      <c r="I30" s="44">
        <v>2</v>
      </c>
      <c r="J30" s="44"/>
      <c r="K30" s="44"/>
      <c r="L30" s="45">
        <f>G30*I30</f>
        <v>115.12</v>
      </c>
    </row>
    <row r="31" spans="1:17" x14ac:dyDescent="0.25">
      <c r="A31" s="28"/>
      <c r="B31" s="29"/>
      <c r="C31" s="36"/>
      <c r="D31" s="30"/>
      <c r="E31" s="29"/>
      <c r="F31" s="44"/>
      <c r="G31" s="44"/>
      <c r="H31" s="44"/>
      <c r="I31" s="44"/>
      <c r="J31" s="44"/>
      <c r="K31" s="44"/>
      <c r="L31" s="54"/>
    </row>
    <row r="32" spans="1:17" ht="33.75" x14ac:dyDescent="0.25">
      <c r="A32" s="28" t="s">
        <v>50</v>
      </c>
      <c r="B32" s="29" t="s">
        <v>40</v>
      </c>
      <c r="C32" s="36" t="s">
        <v>465</v>
      </c>
      <c r="D32" s="30" t="s">
        <v>41</v>
      </c>
      <c r="E32" s="29" t="s">
        <v>33</v>
      </c>
      <c r="F32" s="44"/>
      <c r="G32" s="44">
        <v>57.56</v>
      </c>
      <c r="H32" s="44"/>
      <c r="I32" s="44">
        <v>2</v>
      </c>
      <c r="J32" s="44"/>
      <c r="K32" s="44"/>
      <c r="L32" s="45">
        <f>G32*I32</f>
        <v>115.12</v>
      </c>
    </row>
    <row r="33" spans="1:12" x14ac:dyDescent="0.25">
      <c r="A33" s="28"/>
      <c r="B33" s="29"/>
      <c r="C33" s="36"/>
      <c r="D33" s="30"/>
      <c r="E33" s="29"/>
      <c r="F33" s="44"/>
      <c r="G33" s="44"/>
      <c r="H33" s="44"/>
      <c r="I33" s="44"/>
      <c r="J33" s="44"/>
      <c r="K33" s="44"/>
      <c r="L33" s="45"/>
    </row>
    <row r="34" spans="1:12" ht="33.75" x14ac:dyDescent="0.25">
      <c r="A34" s="28" t="s">
        <v>55</v>
      </c>
      <c r="B34" s="29" t="s">
        <v>43</v>
      </c>
      <c r="C34" s="36" t="s">
        <v>19</v>
      </c>
      <c r="D34" s="30" t="s">
        <v>44</v>
      </c>
      <c r="E34" s="29" t="s">
        <v>27</v>
      </c>
      <c r="F34" s="44">
        <v>6</v>
      </c>
      <c r="G34" s="44">
        <v>57.56</v>
      </c>
      <c r="H34" s="44"/>
      <c r="I34" s="44"/>
      <c r="J34" s="44"/>
      <c r="K34" s="44"/>
      <c r="L34" s="45">
        <f>G34*F34</f>
        <v>345.36</v>
      </c>
    </row>
    <row r="35" spans="1:12" x14ac:dyDescent="0.25">
      <c r="A35" s="56"/>
      <c r="B35" s="57"/>
      <c r="C35" s="57"/>
      <c r="D35" s="57"/>
      <c r="E35" s="57"/>
      <c r="F35" s="57"/>
      <c r="G35" s="57"/>
      <c r="H35" s="57"/>
      <c r="I35" s="57"/>
      <c r="J35" s="57"/>
      <c r="K35" s="57"/>
      <c r="L35" s="58"/>
    </row>
    <row r="36" spans="1:12" ht="22.5" x14ac:dyDescent="0.25">
      <c r="A36" s="38" t="s">
        <v>56</v>
      </c>
      <c r="B36" s="52"/>
      <c r="C36" s="53"/>
      <c r="D36" s="41" t="s">
        <v>353</v>
      </c>
      <c r="E36" s="52"/>
      <c r="F36" s="42"/>
      <c r="G36" s="42"/>
      <c r="H36" s="42"/>
      <c r="I36" s="42"/>
      <c r="J36" s="42"/>
      <c r="K36" s="42"/>
      <c r="L36" s="43"/>
    </row>
    <row r="37" spans="1:12" ht="22.5" x14ac:dyDescent="0.25">
      <c r="A37" s="28" t="s">
        <v>57</v>
      </c>
      <c r="B37" s="29" t="s">
        <v>468</v>
      </c>
      <c r="C37" s="36" t="s">
        <v>464</v>
      </c>
      <c r="D37" s="30" t="s">
        <v>469</v>
      </c>
      <c r="E37" s="29" t="s">
        <v>27</v>
      </c>
      <c r="F37" s="44">
        <v>6</v>
      </c>
      <c r="G37" s="44">
        <f>(3*20)+17.95</f>
        <v>77.95</v>
      </c>
      <c r="H37" s="44"/>
      <c r="I37" s="44"/>
      <c r="J37" s="44"/>
      <c r="K37" s="44"/>
      <c r="L37" s="45">
        <f>G37*F37</f>
        <v>467.70000000000005</v>
      </c>
    </row>
    <row r="38" spans="1:12" x14ac:dyDescent="0.25">
      <c r="A38" s="28"/>
      <c r="B38" s="29"/>
      <c r="C38" s="36"/>
      <c r="D38" s="30"/>
      <c r="E38" s="29"/>
      <c r="F38" s="44"/>
      <c r="G38" s="44"/>
      <c r="H38" s="44"/>
      <c r="I38" s="44"/>
      <c r="J38" s="44"/>
      <c r="K38" s="44"/>
      <c r="L38" s="45"/>
    </row>
    <row r="39" spans="1:12" ht="56.25" x14ac:dyDescent="0.25">
      <c r="A39" s="28" t="s">
        <v>58</v>
      </c>
      <c r="B39" s="29" t="s">
        <v>37</v>
      </c>
      <c r="C39" s="36" t="s">
        <v>369</v>
      </c>
      <c r="D39" s="30" t="s">
        <v>38</v>
      </c>
      <c r="E39" s="29" t="s">
        <v>33</v>
      </c>
      <c r="F39" s="44"/>
      <c r="G39" s="44">
        <v>77.95</v>
      </c>
      <c r="H39" s="44"/>
      <c r="I39" s="44">
        <v>2</v>
      </c>
      <c r="J39" s="44"/>
      <c r="K39" s="44"/>
      <c r="L39" s="45">
        <f>G39*I39</f>
        <v>155.9</v>
      </c>
    </row>
    <row r="40" spans="1:12" x14ac:dyDescent="0.25">
      <c r="A40" s="28"/>
      <c r="B40" s="29"/>
      <c r="C40" s="36"/>
      <c r="D40" s="30"/>
      <c r="E40" s="29"/>
      <c r="F40" s="44"/>
      <c r="G40" s="44"/>
      <c r="H40" s="44"/>
      <c r="I40" s="44"/>
      <c r="J40" s="44"/>
      <c r="K40" s="44"/>
      <c r="L40" s="54"/>
    </row>
    <row r="41" spans="1:12" ht="33.75" x14ac:dyDescent="0.25">
      <c r="A41" s="28" t="s">
        <v>59</v>
      </c>
      <c r="B41" s="29" t="s">
        <v>40</v>
      </c>
      <c r="C41" s="36" t="s">
        <v>465</v>
      </c>
      <c r="D41" s="30" t="s">
        <v>41</v>
      </c>
      <c r="E41" s="29" t="s">
        <v>33</v>
      </c>
      <c r="F41" s="44"/>
      <c r="G41" s="44">
        <v>77.95</v>
      </c>
      <c r="H41" s="44"/>
      <c r="I41" s="44">
        <v>2</v>
      </c>
      <c r="J41" s="44"/>
      <c r="K41" s="44"/>
      <c r="L41" s="45">
        <f>G41*I41</f>
        <v>155.9</v>
      </c>
    </row>
    <row r="42" spans="1:12" x14ac:dyDescent="0.25">
      <c r="A42" s="28"/>
      <c r="B42" s="29"/>
      <c r="C42" s="36"/>
      <c r="D42" s="30"/>
      <c r="E42" s="29"/>
      <c r="F42" s="44"/>
      <c r="G42" s="44"/>
      <c r="H42" s="44"/>
      <c r="I42" s="44"/>
      <c r="J42" s="44"/>
      <c r="K42" s="44"/>
      <c r="L42" s="45"/>
    </row>
    <row r="43" spans="1:12" ht="33.75" x14ac:dyDescent="0.25">
      <c r="A43" s="28" t="s">
        <v>60</v>
      </c>
      <c r="B43" s="29" t="s">
        <v>43</v>
      </c>
      <c r="C43" s="36" t="s">
        <v>19</v>
      </c>
      <c r="D43" s="30" t="s">
        <v>44</v>
      </c>
      <c r="E43" s="29" t="s">
        <v>27</v>
      </c>
      <c r="F43" s="44">
        <v>6</v>
      </c>
      <c r="G43" s="44">
        <v>77.95</v>
      </c>
      <c r="H43" s="44"/>
      <c r="I43" s="44"/>
      <c r="J43" s="44"/>
      <c r="K43" s="44"/>
      <c r="L43" s="45">
        <f>G43*F43</f>
        <v>467.70000000000005</v>
      </c>
    </row>
    <row r="44" spans="1:12" x14ac:dyDescent="0.25">
      <c r="A44" s="56"/>
      <c r="B44" s="57"/>
      <c r="C44" s="57"/>
      <c r="D44" s="57"/>
      <c r="E44" s="57"/>
      <c r="F44" s="57"/>
      <c r="G44" s="57"/>
      <c r="H44" s="57"/>
      <c r="I44" s="57"/>
      <c r="J44" s="57"/>
      <c r="K44" s="57"/>
      <c r="L44" s="58"/>
    </row>
    <row r="45" spans="1:12" ht="22.5" x14ac:dyDescent="0.25">
      <c r="A45" s="38" t="s">
        <v>61</v>
      </c>
      <c r="B45" s="52"/>
      <c r="C45" s="53"/>
      <c r="D45" s="41" t="s">
        <v>354</v>
      </c>
      <c r="E45" s="52"/>
      <c r="F45" s="42"/>
      <c r="G45" s="42"/>
      <c r="H45" s="42"/>
      <c r="I45" s="42"/>
      <c r="J45" s="42"/>
      <c r="K45" s="42"/>
      <c r="L45" s="43"/>
    </row>
    <row r="46" spans="1:12" ht="22.5" x14ac:dyDescent="0.25">
      <c r="A46" s="28" t="s">
        <v>62</v>
      </c>
      <c r="B46" s="29" t="s">
        <v>468</v>
      </c>
      <c r="C46" s="36" t="s">
        <v>464</v>
      </c>
      <c r="D46" s="30" t="s">
        <v>469</v>
      </c>
      <c r="E46" s="29" t="s">
        <v>27</v>
      </c>
      <c r="F46" s="44">
        <v>6</v>
      </c>
      <c r="G46" s="44">
        <f>(4*20)+7.37</f>
        <v>87.37</v>
      </c>
      <c r="H46" s="44"/>
      <c r="I46" s="44"/>
      <c r="J46" s="44"/>
      <c r="K46" s="44"/>
      <c r="L46" s="45">
        <f>G46*F46</f>
        <v>524.22</v>
      </c>
    </row>
    <row r="47" spans="1:12" x14ac:dyDescent="0.25">
      <c r="A47" s="28"/>
      <c r="B47" s="29"/>
      <c r="C47" s="36"/>
      <c r="D47" s="30"/>
      <c r="E47" s="29"/>
      <c r="F47" s="44"/>
      <c r="G47" s="44"/>
      <c r="H47" s="44"/>
      <c r="I47" s="44"/>
      <c r="J47" s="44"/>
      <c r="K47" s="44"/>
      <c r="L47" s="45"/>
    </row>
    <row r="48" spans="1:12" ht="56.25" x14ac:dyDescent="0.25">
      <c r="A48" s="28" t="s">
        <v>63</v>
      </c>
      <c r="B48" s="29" t="s">
        <v>37</v>
      </c>
      <c r="C48" s="36" t="s">
        <v>369</v>
      </c>
      <c r="D48" s="30" t="s">
        <v>38</v>
      </c>
      <c r="E48" s="29" t="s">
        <v>33</v>
      </c>
      <c r="F48" s="44"/>
      <c r="G48" s="44">
        <v>87.37</v>
      </c>
      <c r="H48" s="44"/>
      <c r="I48" s="44">
        <v>2</v>
      </c>
      <c r="J48" s="44"/>
      <c r="K48" s="44"/>
      <c r="L48" s="45">
        <f>G48*I48</f>
        <v>174.74</v>
      </c>
    </row>
    <row r="49" spans="1:12" x14ac:dyDescent="0.25">
      <c r="A49" s="28"/>
      <c r="B49" s="29"/>
      <c r="C49" s="36"/>
      <c r="D49" s="30"/>
      <c r="E49" s="29"/>
      <c r="F49" s="44"/>
      <c r="G49" s="44"/>
      <c r="H49" s="44"/>
      <c r="I49" s="44"/>
      <c r="J49" s="44"/>
      <c r="K49" s="44"/>
      <c r="L49" s="54"/>
    </row>
    <row r="50" spans="1:12" ht="33.75" x14ac:dyDescent="0.25">
      <c r="A50" s="28" t="s">
        <v>64</v>
      </c>
      <c r="B50" s="29" t="s">
        <v>40</v>
      </c>
      <c r="C50" s="36" t="s">
        <v>465</v>
      </c>
      <c r="D50" s="30" t="s">
        <v>41</v>
      </c>
      <c r="E50" s="29" t="s">
        <v>33</v>
      </c>
      <c r="F50" s="44"/>
      <c r="G50" s="44">
        <v>87.37</v>
      </c>
      <c r="H50" s="44"/>
      <c r="I50" s="44">
        <v>2</v>
      </c>
      <c r="J50" s="44"/>
      <c r="K50" s="44"/>
      <c r="L50" s="45">
        <f>G50*I50</f>
        <v>174.74</v>
      </c>
    </row>
    <row r="51" spans="1:12" x14ac:dyDescent="0.25">
      <c r="A51" s="28"/>
      <c r="B51" s="29"/>
      <c r="C51" s="36"/>
      <c r="D51" s="30"/>
      <c r="E51" s="29"/>
      <c r="F51" s="44"/>
      <c r="G51" s="44"/>
      <c r="H51" s="44"/>
      <c r="I51" s="44"/>
      <c r="J51" s="44"/>
      <c r="K51" s="44"/>
      <c r="L51" s="45"/>
    </row>
    <row r="52" spans="1:12" ht="33.75" x14ac:dyDescent="0.25">
      <c r="A52" s="28" t="s">
        <v>65</v>
      </c>
      <c r="B52" s="29" t="s">
        <v>43</v>
      </c>
      <c r="C52" s="36" t="s">
        <v>19</v>
      </c>
      <c r="D52" s="30" t="s">
        <v>44</v>
      </c>
      <c r="E52" s="29" t="s">
        <v>27</v>
      </c>
      <c r="F52" s="44">
        <v>6</v>
      </c>
      <c r="G52" s="44">
        <v>87.37</v>
      </c>
      <c r="H52" s="44"/>
      <c r="I52" s="44"/>
      <c r="J52" s="44"/>
      <c r="K52" s="44"/>
      <c r="L52" s="45">
        <f>G52*F52</f>
        <v>524.22</v>
      </c>
    </row>
    <row r="53" spans="1:12" x14ac:dyDescent="0.25">
      <c r="A53" s="56"/>
      <c r="B53" s="57"/>
      <c r="C53" s="57"/>
      <c r="D53" s="57"/>
      <c r="E53" s="57"/>
      <c r="F53" s="57"/>
      <c r="G53" s="57"/>
      <c r="H53" s="57"/>
      <c r="I53" s="57"/>
      <c r="J53" s="57"/>
      <c r="K53" s="57"/>
      <c r="L53" s="58"/>
    </row>
    <row r="54" spans="1:12" x14ac:dyDescent="0.25">
      <c r="A54" s="38" t="s">
        <v>66</v>
      </c>
      <c r="B54" s="52"/>
      <c r="C54" s="53"/>
      <c r="D54" s="41" t="s">
        <v>71</v>
      </c>
      <c r="E54" s="52"/>
      <c r="F54" s="42"/>
      <c r="G54" s="42"/>
      <c r="H54" s="42"/>
      <c r="I54" s="42"/>
      <c r="J54" s="42"/>
      <c r="K54" s="42"/>
      <c r="L54" s="43"/>
    </row>
    <row r="55" spans="1:12" ht="22.5" x14ac:dyDescent="0.25">
      <c r="A55" s="28" t="s">
        <v>67</v>
      </c>
      <c r="B55" s="29" t="s">
        <v>468</v>
      </c>
      <c r="C55" s="36" t="s">
        <v>464</v>
      </c>
      <c r="D55" s="30" t="s">
        <v>469</v>
      </c>
      <c r="E55" s="29" t="s">
        <v>27</v>
      </c>
      <c r="F55" s="44">
        <v>6</v>
      </c>
      <c r="G55" s="44">
        <f>(4*20)+11.61</f>
        <v>91.61</v>
      </c>
      <c r="H55" s="44"/>
      <c r="I55" s="44"/>
      <c r="J55" s="44"/>
      <c r="K55" s="44"/>
      <c r="L55" s="45">
        <f>G55*F55</f>
        <v>549.66</v>
      </c>
    </row>
    <row r="56" spans="1:12" x14ac:dyDescent="0.25">
      <c r="A56" s="28"/>
      <c r="B56" s="29"/>
      <c r="C56" s="36"/>
      <c r="D56" s="30"/>
      <c r="E56" s="29"/>
      <c r="F56" s="44"/>
      <c r="G56" s="44"/>
      <c r="H56" s="44"/>
      <c r="I56" s="44"/>
      <c r="J56" s="44"/>
      <c r="K56" s="44"/>
      <c r="L56" s="45"/>
    </row>
    <row r="57" spans="1:12" ht="56.25" x14ac:dyDescent="0.25">
      <c r="A57" s="28" t="s">
        <v>68</v>
      </c>
      <c r="B57" s="29" t="s">
        <v>37</v>
      </c>
      <c r="C57" s="36" t="s">
        <v>369</v>
      </c>
      <c r="D57" s="30" t="s">
        <v>38</v>
      </c>
      <c r="E57" s="29" t="s">
        <v>33</v>
      </c>
      <c r="F57" s="44"/>
      <c r="G57" s="44">
        <v>91.61</v>
      </c>
      <c r="H57" s="44"/>
      <c r="I57" s="44">
        <v>2</v>
      </c>
      <c r="J57" s="44"/>
      <c r="K57" s="44"/>
      <c r="L57" s="45">
        <f>G57*I57</f>
        <v>183.22</v>
      </c>
    </row>
    <row r="58" spans="1:12" x14ac:dyDescent="0.25">
      <c r="A58" s="28"/>
      <c r="B58" s="29"/>
      <c r="C58" s="36"/>
      <c r="D58" s="30"/>
      <c r="E58" s="29"/>
      <c r="F58" s="44"/>
      <c r="G58" s="44"/>
      <c r="H58" s="44"/>
      <c r="I58" s="44"/>
      <c r="J58" s="44"/>
      <c r="K58" s="44"/>
      <c r="L58" s="54"/>
    </row>
    <row r="59" spans="1:12" ht="33.75" x14ac:dyDescent="0.25">
      <c r="A59" s="28" t="s">
        <v>69</v>
      </c>
      <c r="B59" s="29" t="s">
        <v>40</v>
      </c>
      <c r="C59" s="36" t="s">
        <v>465</v>
      </c>
      <c r="D59" s="30" t="s">
        <v>41</v>
      </c>
      <c r="E59" s="29" t="s">
        <v>33</v>
      </c>
      <c r="F59" s="44"/>
      <c r="G59" s="44">
        <v>91.61</v>
      </c>
      <c r="H59" s="44"/>
      <c r="I59" s="44">
        <v>2</v>
      </c>
      <c r="J59" s="44"/>
      <c r="K59" s="44"/>
      <c r="L59" s="45">
        <f>G59*I59</f>
        <v>183.22</v>
      </c>
    </row>
    <row r="60" spans="1:12" x14ac:dyDescent="0.25">
      <c r="A60" s="28"/>
      <c r="B60" s="29"/>
      <c r="C60" s="36"/>
      <c r="D60" s="30"/>
      <c r="E60" s="29"/>
      <c r="F60" s="44"/>
      <c r="G60" s="44"/>
      <c r="H60" s="44"/>
      <c r="I60" s="44"/>
      <c r="J60" s="44"/>
      <c r="K60" s="44"/>
      <c r="L60" s="45"/>
    </row>
    <row r="61" spans="1:12" ht="33.75" x14ac:dyDescent="0.25">
      <c r="A61" s="28" t="s">
        <v>70</v>
      </c>
      <c r="B61" s="29" t="s">
        <v>43</v>
      </c>
      <c r="C61" s="36" t="s">
        <v>19</v>
      </c>
      <c r="D61" s="30" t="s">
        <v>44</v>
      </c>
      <c r="E61" s="29" t="s">
        <v>27</v>
      </c>
      <c r="F61" s="44">
        <v>6</v>
      </c>
      <c r="G61" s="44">
        <v>91.61</v>
      </c>
      <c r="H61" s="44"/>
      <c r="I61" s="44"/>
      <c r="J61" s="44"/>
      <c r="K61" s="44"/>
      <c r="L61" s="45">
        <f>G61*F61</f>
        <v>549.66</v>
      </c>
    </row>
    <row r="62" spans="1:12" x14ac:dyDescent="0.25">
      <c r="A62" s="56"/>
      <c r="B62" s="57"/>
      <c r="C62" s="57"/>
      <c r="D62" s="57"/>
      <c r="E62" s="57"/>
      <c r="F62" s="57"/>
      <c r="G62" s="57"/>
      <c r="H62" s="57"/>
      <c r="I62" s="57"/>
      <c r="J62" s="57"/>
      <c r="K62" s="57"/>
      <c r="L62" s="58"/>
    </row>
    <row r="63" spans="1:12" x14ac:dyDescent="0.25">
      <c r="A63" s="38" t="s">
        <v>72</v>
      </c>
      <c r="B63" s="52"/>
      <c r="C63" s="53"/>
      <c r="D63" s="41" t="s">
        <v>77</v>
      </c>
      <c r="E63" s="52"/>
      <c r="F63" s="42"/>
      <c r="G63" s="42"/>
      <c r="H63" s="42"/>
      <c r="I63" s="42"/>
      <c r="J63" s="42"/>
      <c r="K63" s="42"/>
      <c r="L63" s="43"/>
    </row>
    <row r="64" spans="1:12" ht="22.5" x14ac:dyDescent="0.25">
      <c r="A64" s="28" t="s">
        <v>73</v>
      </c>
      <c r="B64" s="29" t="s">
        <v>468</v>
      </c>
      <c r="C64" s="36" t="s">
        <v>464</v>
      </c>
      <c r="D64" s="30" t="s">
        <v>469</v>
      </c>
      <c r="E64" s="29" t="s">
        <v>27</v>
      </c>
      <c r="F64" s="44">
        <v>6</v>
      </c>
      <c r="G64" s="44">
        <f>(5*20)+1.84</f>
        <v>101.84</v>
      </c>
      <c r="H64" s="44"/>
      <c r="I64" s="44"/>
      <c r="J64" s="44"/>
      <c r="K64" s="44"/>
      <c r="L64" s="45">
        <f>G64*F64</f>
        <v>611.04</v>
      </c>
    </row>
    <row r="65" spans="1:12" x14ac:dyDescent="0.25">
      <c r="A65" s="28"/>
      <c r="B65" s="29"/>
      <c r="C65" s="36"/>
      <c r="D65" s="30"/>
      <c r="E65" s="29"/>
      <c r="F65" s="44"/>
      <c r="G65" s="44"/>
      <c r="H65" s="44"/>
      <c r="I65" s="44"/>
      <c r="J65" s="44"/>
      <c r="K65" s="44"/>
      <c r="L65" s="45"/>
    </row>
    <row r="66" spans="1:12" ht="56.25" x14ac:dyDescent="0.25">
      <c r="A66" s="28" t="s">
        <v>74</v>
      </c>
      <c r="B66" s="29" t="s">
        <v>37</v>
      </c>
      <c r="C66" s="36" t="s">
        <v>369</v>
      </c>
      <c r="D66" s="30" t="s">
        <v>38</v>
      </c>
      <c r="E66" s="29" t="s">
        <v>33</v>
      </c>
      <c r="F66" s="44"/>
      <c r="G66" s="44">
        <v>101.84</v>
      </c>
      <c r="H66" s="44"/>
      <c r="I66" s="44">
        <v>2</v>
      </c>
      <c r="J66" s="44"/>
      <c r="K66" s="44"/>
      <c r="L66" s="45">
        <f>G66*I66</f>
        <v>203.68</v>
      </c>
    </row>
    <row r="67" spans="1:12" x14ac:dyDescent="0.25">
      <c r="A67" s="28"/>
      <c r="B67" s="29"/>
      <c r="C67" s="36"/>
      <c r="D67" s="30"/>
      <c r="E67" s="29"/>
      <c r="F67" s="44"/>
      <c r="G67" s="44"/>
      <c r="H67" s="44"/>
      <c r="I67" s="44"/>
      <c r="J67" s="44"/>
      <c r="K67" s="44"/>
      <c r="L67" s="54"/>
    </row>
    <row r="68" spans="1:12" ht="33.75" x14ac:dyDescent="0.25">
      <c r="A68" s="28" t="s">
        <v>75</v>
      </c>
      <c r="B68" s="29" t="s">
        <v>40</v>
      </c>
      <c r="C68" s="36" t="s">
        <v>465</v>
      </c>
      <c r="D68" s="30" t="s">
        <v>41</v>
      </c>
      <c r="E68" s="29" t="s">
        <v>33</v>
      </c>
      <c r="F68" s="44"/>
      <c r="G68" s="44">
        <v>101.84</v>
      </c>
      <c r="H68" s="44"/>
      <c r="I68" s="44">
        <v>2</v>
      </c>
      <c r="J68" s="44"/>
      <c r="K68" s="44"/>
      <c r="L68" s="45">
        <f>G68*I68</f>
        <v>203.68</v>
      </c>
    </row>
    <row r="69" spans="1:12" x14ac:dyDescent="0.25">
      <c r="A69" s="28"/>
      <c r="B69" s="29"/>
      <c r="C69" s="36"/>
      <c r="D69" s="30"/>
      <c r="E69" s="29"/>
      <c r="F69" s="44"/>
      <c r="G69" s="44"/>
      <c r="H69" s="44"/>
      <c r="I69" s="44"/>
      <c r="J69" s="44"/>
      <c r="K69" s="44"/>
      <c r="L69" s="45"/>
    </row>
    <row r="70" spans="1:12" ht="33.75" x14ac:dyDescent="0.25">
      <c r="A70" s="28" t="s">
        <v>76</v>
      </c>
      <c r="B70" s="29" t="s">
        <v>43</v>
      </c>
      <c r="C70" s="36" t="s">
        <v>19</v>
      </c>
      <c r="D70" s="30" t="s">
        <v>44</v>
      </c>
      <c r="E70" s="29" t="s">
        <v>27</v>
      </c>
      <c r="F70" s="44">
        <v>6</v>
      </c>
      <c r="G70" s="44">
        <v>101.84</v>
      </c>
      <c r="H70" s="44"/>
      <c r="I70" s="44"/>
      <c r="J70" s="44"/>
      <c r="K70" s="44"/>
      <c r="L70" s="45">
        <f>G70*F70</f>
        <v>611.04</v>
      </c>
    </row>
    <row r="71" spans="1:12" x14ac:dyDescent="0.25">
      <c r="A71" s="56"/>
      <c r="B71" s="57"/>
      <c r="C71" s="57"/>
      <c r="D71" s="57"/>
      <c r="E71" s="57"/>
      <c r="F71" s="57"/>
      <c r="G71" s="57"/>
      <c r="H71" s="57"/>
      <c r="I71" s="57"/>
      <c r="J71" s="57"/>
      <c r="K71" s="57"/>
      <c r="L71" s="58"/>
    </row>
    <row r="72" spans="1:12" ht="22.5" x14ac:dyDescent="0.25">
      <c r="A72" s="38" t="s">
        <v>78</v>
      </c>
      <c r="B72" s="52"/>
      <c r="C72" s="53"/>
      <c r="D72" s="41" t="s">
        <v>83</v>
      </c>
      <c r="E72" s="52"/>
      <c r="F72" s="42"/>
      <c r="G72" s="42"/>
      <c r="H72" s="42"/>
      <c r="I72" s="42"/>
      <c r="J72" s="42"/>
      <c r="K72" s="42"/>
      <c r="L72" s="43"/>
    </row>
    <row r="73" spans="1:12" ht="22.5" x14ac:dyDescent="0.25">
      <c r="A73" s="28" t="s">
        <v>79</v>
      </c>
      <c r="B73" s="29" t="s">
        <v>468</v>
      </c>
      <c r="C73" s="36" t="s">
        <v>464</v>
      </c>
      <c r="D73" s="30" t="s">
        <v>469</v>
      </c>
      <c r="E73" s="29" t="s">
        <v>27</v>
      </c>
      <c r="F73" s="44">
        <v>6</v>
      </c>
      <c r="G73" s="44">
        <f>(3*20)+11.57</f>
        <v>71.569999999999993</v>
      </c>
      <c r="H73" s="44"/>
      <c r="I73" s="44"/>
      <c r="J73" s="44"/>
      <c r="K73" s="44"/>
      <c r="L73" s="45">
        <f>G73*F73</f>
        <v>429.41999999999996</v>
      </c>
    </row>
    <row r="74" spans="1:12" x14ac:dyDescent="0.25">
      <c r="A74" s="28"/>
      <c r="B74" s="29"/>
      <c r="C74" s="36"/>
      <c r="D74" s="30"/>
      <c r="E74" s="29"/>
      <c r="F74" s="44"/>
      <c r="G74" s="44"/>
      <c r="H74" s="44"/>
      <c r="I74" s="44"/>
      <c r="J74" s="44"/>
      <c r="K74" s="44"/>
      <c r="L74" s="45"/>
    </row>
    <row r="75" spans="1:12" ht="56.25" x14ac:dyDescent="0.25">
      <c r="A75" s="28" t="s">
        <v>80</v>
      </c>
      <c r="B75" s="29" t="s">
        <v>37</v>
      </c>
      <c r="C75" s="36" t="s">
        <v>369</v>
      </c>
      <c r="D75" s="30" t="s">
        <v>38</v>
      </c>
      <c r="E75" s="29" t="s">
        <v>33</v>
      </c>
      <c r="F75" s="44"/>
      <c r="G75" s="44">
        <v>71.569999999999993</v>
      </c>
      <c r="H75" s="44"/>
      <c r="I75" s="44">
        <v>2</v>
      </c>
      <c r="J75" s="44"/>
      <c r="K75" s="44"/>
      <c r="L75" s="45">
        <f>G75*I75</f>
        <v>143.13999999999999</v>
      </c>
    </row>
    <row r="76" spans="1:12" x14ac:dyDescent="0.25">
      <c r="A76" s="28"/>
      <c r="B76" s="29"/>
      <c r="C76" s="36"/>
      <c r="D76" s="30"/>
      <c r="E76" s="29"/>
      <c r="F76" s="44"/>
      <c r="G76" s="44"/>
      <c r="H76" s="44"/>
      <c r="I76" s="44"/>
      <c r="J76" s="44"/>
      <c r="K76" s="44"/>
      <c r="L76" s="54"/>
    </row>
    <row r="77" spans="1:12" ht="33.75" x14ac:dyDescent="0.25">
      <c r="A77" s="28" t="s">
        <v>81</v>
      </c>
      <c r="B77" s="29" t="s">
        <v>40</v>
      </c>
      <c r="C77" s="36" t="s">
        <v>465</v>
      </c>
      <c r="D77" s="30" t="s">
        <v>41</v>
      </c>
      <c r="E77" s="29" t="s">
        <v>33</v>
      </c>
      <c r="F77" s="44"/>
      <c r="G77" s="44">
        <v>71.569999999999993</v>
      </c>
      <c r="H77" s="44"/>
      <c r="I77" s="44">
        <v>2</v>
      </c>
      <c r="J77" s="44"/>
      <c r="K77" s="44"/>
      <c r="L77" s="45">
        <f>G77*I77</f>
        <v>143.13999999999999</v>
      </c>
    </row>
    <row r="78" spans="1:12" x14ac:dyDescent="0.25">
      <c r="A78" s="28"/>
      <c r="B78" s="29"/>
      <c r="C78" s="36"/>
      <c r="D78" s="30"/>
      <c r="E78" s="29"/>
      <c r="F78" s="44"/>
      <c r="G78" s="44"/>
      <c r="H78" s="44"/>
      <c r="I78" s="44"/>
      <c r="J78" s="44"/>
      <c r="K78" s="44"/>
      <c r="L78" s="45"/>
    </row>
    <row r="79" spans="1:12" ht="33.75" x14ac:dyDescent="0.25">
      <c r="A79" s="28" t="s">
        <v>82</v>
      </c>
      <c r="B79" s="29" t="s">
        <v>43</v>
      </c>
      <c r="C79" s="36" t="s">
        <v>19</v>
      </c>
      <c r="D79" s="30" t="s">
        <v>44</v>
      </c>
      <c r="E79" s="29" t="s">
        <v>27</v>
      </c>
      <c r="F79" s="44">
        <v>6</v>
      </c>
      <c r="G79" s="44">
        <v>71.569999999999993</v>
      </c>
      <c r="H79" s="44"/>
      <c r="I79" s="44"/>
      <c r="J79" s="44"/>
      <c r="K79" s="44"/>
      <c r="L79" s="45">
        <f>G79*F79</f>
        <v>429.41999999999996</v>
      </c>
    </row>
    <row r="80" spans="1:12" x14ac:dyDescent="0.25">
      <c r="A80" s="28"/>
      <c r="B80" s="29"/>
      <c r="C80" s="36"/>
      <c r="D80" s="30"/>
      <c r="E80" s="29"/>
      <c r="F80" s="44"/>
      <c r="G80" s="44"/>
      <c r="H80" s="44"/>
      <c r="I80" s="44"/>
      <c r="J80" s="44"/>
      <c r="K80" s="44"/>
      <c r="L80" s="45"/>
    </row>
    <row r="81" spans="1:12" ht="22.5" x14ac:dyDescent="0.25">
      <c r="A81" s="38" t="s">
        <v>355</v>
      </c>
      <c r="B81" s="52"/>
      <c r="C81" s="53"/>
      <c r="D81" s="41" t="s">
        <v>360</v>
      </c>
      <c r="E81" s="52"/>
      <c r="F81" s="42"/>
      <c r="G81" s="42"/>
      <c r="H81" s="42"/>
      <c r="I81" s="42"/>
      <c r="J81" s="42"/>
      <c r="K81" s="42"/>
      <c r="L81" s="43"/>
    </row>
    <row r="82" spans="1:12" ht="22.5" x14ac:dyDescent="0.25">
      <c r="A82" s="28" t="s">
        <v>356</v>
      </c>
      <c r="B82" s="29" t="s">
        <v>468</v>
      </c>
      <c r="C82" s="36" t="s">
        <v>464</v>
      </c>
      <c r="D82" s="30" t="s">
        <v>469</v>
      </c>
      <c r="E82" s="29" t="s">
        <v>27</v>
      </c>
      <c r="F82" s="44">
        <v>6</v>
      </c>
      <c r="G82" s="44">
        <f>(2*20)+10</f>
        <v>50</v>
      </c>
      <c r="H82" s="44"/>
      <c r="I82" s="44"/>
      <c r="J82" s="44"/>
      <c r="K82" s="44"/>
      <c r="L82" s="45">
        <f>G82*F82</f>
        <v>300</v>
      </c>
    </row>
    <row r="83" spans="1:12" x14ac:dyDescent="0.25">
      <c r="A83" s="28"/>
      <c r="B83" s="29"/>
      <c r="C83" s="36"/>
      <c r="D83" s="30"/>
      <c r="E83" s="29"/>
      <c r="F83" s="44"/>
      <c r="G83" s="44"/>
      <c r="H83" s="44"/>
      <c r="I83" s="44"/>
      <c r="J83" s="44"/>
      <c r="K83" s="44"/>
      <c r="L83" s="45"/>
    </row>
    <row r="84" spans="1:12" ht="56.25" x14ac:dyDescent="0.25">
      <c r="A84" s="28" t="s">
        <v>357</v>
      </c>
      <c r="B84" s="29" t="s">
        <v>37</v>
      </c>
      <c r="C84" s="36" t="s">
        <v>369</v>
      </c>
      <c r="D84" s="30" t="s">
        <v>38</v>
      </c>
      <c r="E84" s="29" t="s">
        <v>33</v>
      </c>
      <c r="F84" s="44"/>
      <c r="G84" s="44">
        <v>50</v>
      </c>
      <c r="H84" s="44"/>
      <c r="I84" s="44">
        <v>2</v>
      </c>
      <c r="J84" s="44"/>
      <c r="K84" s="44"/>
      <c r="L84" s="45">
        <f>G84*I84</f>
        <v>100</v>
      </c>
    </row>
    <row r="85" spans="1:12" x14ac:dyDescent="0.25">
      <c r="A85" s="28"/>
      <c r="B85" s="29"/>
      <c r="C85" s="36"/>
      <c r="D85" s="30"/>
      <c r="E85" s="29"/>
      <c r="F85" s="44"/>
      <c r="G85" s="44"/>
      <c r="H85" s="44"/>
      <c r="I85" s="44"/>
      <c r="J85" s="44"/>
      <c r="K85" s="44"/>
      <c r="L85" s="54"/>
    </row>
    <row r="86" spans="1:12" ht="33.75" x14ac:dyDescent="0.25">
      <c r="A86" s="28" t="s">
        <v>358</v>
      </c>
      <c r="B86" s="29" t="s">
        <v>40</v>
      </c>
      <c r="C86" s="36" t="s">
        <v>465</v>
      </c>
      <c r="D86" s="30" t="s">
        <v>41</v>
      </c>
      <c r="E86" s="29" t="s">
        <v>33</v>
      </c>
      <c r="F86" s="44"/>
      <c r="G86" s="44">
        <v>50</v>
      </c>
      <c r="H86" s="44"/>
      <c r="I86" s="44">
        <v>2</v>
      </c>
      <c r="J86" s="44"/>
      <c r="K86" s="44"/>
      <c r="L86" s="45">
        <f>G86*I86</f>
        <v>100</v>
      </c>
    </row>
    <row r="87" spans="1:12" x14ac:dyDescent="0.25">
      <c r="A87" s="28"/>
      <c r="B87" s="29"/>
      <c r="C87" s="36"/>
      <c r="D87" s="30"/>
      <c r="E87" s="29"/>
      <c r="F87" s="44"/>
      <c r="G87" s="44"/>
      <c r="H87" s="44"/>
      <c r="I87" s="44"/>
      <c r="J87" s="44"/>
      <c r="K87" s="44"/>
      <c r="L87" s="45"/>
    </row>
    <row r="88" spans="1:12" ht="33.75" x14ac:dyDescent="0.25">
      <c r="A88" s="28" t="s">
        <v>359</v>
      </c>
      <c r="B88" s="29" t="s">
        <v>43</v>
      </c>
      <c r="C88" s="36" t="s">
        <v>19</v>
      </c>
      <c r="D88" s="30" t="s">
        <v>44</v>
      </c>
      <c r="E88" s="29" t="s">
        <v>27</v>
      </c>
      <c r="F88" s="44">
        <v>6</v>
      </c>
      <c r="G88" s="44">
        <v>50</v>
      </c>
      <c r="H88" s="44"/>
      <c r="I88" s="44"/>
      <c r="J88" s="44"/>
      <c r="K88" s="44"/>
      <c r="L88" s="45">
        <f>G88*F88</f>
        <v>300</v>
      </c>
    </row>
    <row r="89" spans="1:12" x14ac:dyDescent="0.25">
      <c r="A89" s="56"/>
      <c r="B89" s="57"/>
      <c r="C89" s="57"/>
      <c r="D89" s="57"/>
      <c r="E89" s="57"/>
      <c r="F89" s="57"/>
      <c r="G89" s="57"/>
      <c r="H89" s="57"/>
      <c r="I89" s="57"/>
      <c r="J89" s="57"/>
      <c r="K89" s="57"/>
      <c r="L89" s="58"/>
    </row>
    <row r="90" spans="1:12" ht="33.75" x14ac:dyDescent="0.25">
      <c r="A90" s="46" t="s">
        <v>31</v>
      </c>
      <c r="B90" s="47"/>
      <c r="C90" s="48"/>
      <c r="D90" s="49" t="s">
        <v>84</v>
      </c>
      <c r="E90" s="47"/>
      <c r="F90" s="50"/>
      <c r="G90" s="50"/>
      <c r="H90" s="50"/>
      <c r="I90" s="50"/>
      <c r="J90" s="50"/>
      <c r="K90" s="50"/>
      <c r="L90" s="51"/>
    </row>
    <row r="91" spans="1:12" ht="22.5" x14ac:dyDescent="0.25">
      <c r="A91" s="38" t="s">
        <v>32</v>
      </c>
      <c r="B91" s="52"/>
      <c r="C91" s="53"/>
      <c r="D91" s="41" t="s">
        <v>361</v>
      </c>
      <c r="E91" s="52"/>
      <c r="F91" s="42"/>
      <c r="G91" s="42"/>
      <c r="H91" s="42"/>
      <c r="I91" s="42"/>
      <c r="J91" s="42"/>
      <c r="K91" s="42"/>
      <c r="L91" s="43"/>
    </row>
    <row r="92" spans="1:12" ht="22.5" x14ac:dyDescent="0.25">
      <c r="A92" s="28" t="s">
        <v>85</v>
      </c>
      <c r="B92" s="29" t="s">
        <v>468</v>
      </c>
      <c r="C92" s="36" t="s">
        <v>464</v>
      </c>
      <c r="D92" s="30" t="s">
        <v>469</v>
      </c>
      <c r="E92" s="29" t="s">
        <v>27</v>
      </c>
      <c r="F92" s="44">
        <v>6</v>
      </c>
      <c r="G92" s="44">
        <f>(15*20)+13.54</f>
        <v>313.54000000000002</v>
      </c>
      <c r="H92" s="44"/>
      <c r="I92" s="44"/>
      <c r="J92" s="44"/>
      <c r="K92" s="44"/>
      <c r="L92" s="45">
        <f>G92*F92</f>
        <v>1881.2400000000002</v>
      </c>
    </row>
    <row r="93" spans="1:12" x14ac:dyDescent="0.25">
      <c r="A93" s="28"/>
      <c r="B93" s="29"/>
      <c r="C93" s="36"/>
      <c r="D93" s="30"/>
      <c r="E93" s="29"/>
      <c r="F93" s="44"/>
      <c r="G93" s="44"/>
      <c r="H93" s="44"/>
      <c r="I93" s="44"/>
      <c r="J93" s="44"/>
      <c r="K93" s="44"/>
      <c r="L93" s="45"/>
    </row>
    <row r="94" spans="1:12" ht="56.25" x14ac:dyDescent="0.25">
      <c r="A94" s="28" t="s">
        <v>86</v>
      </c>
      <c r="B94" s="29" t="s">
        <v>37</v>
      </c>
      <c r="C94" s="36" t="s">
        <v>369</v>
      </c>
      <c r="D94" s="30" t="s">
        <v>38</v>
      </c>
      <c r="E94" s="29" t="s">
        <v>33</v>
      </c>
      <c r="F94" s="44"/>
      <c r="G94" s="44">
        <v>313.54000000000002</v>
      </c>
      <c r="H94" s="44"/>
      <c r="I94" s="44">
        <v>2</v>
      </c>
      <c r="J94" s="44"/>
      <c r="K94" s="44"/>
      <c r="L94" s="45">
        <f>G94*I94</f>
        <v>627.08000000000004</v>
      </c>
    </row>
    <row r="95" spans="1:12" x14ac:dyDescent="0.25">
      <c r="A95" s="28"/>
      <c r="B95" s="29"/>
      <c r="C95" s="36"/>
      <c r="D95" s="30"/>
      <c r="E95" s="29"/>
      <c r="F95" s="44"/>
      <c r="G95" s="44"/>
      <c r="H95" s="44"/>
      <c r="I95" s="44"/>
      <c r="J95" s="44"/>
      <c r="K95" s="44"/>
      <c r="L95" s="54"/>
    </row>
    <row r="96" spans="1:12" ht="33.75" x14ac:dyDescent="0.25">
      <c r="A96" s="28" t="s">
        <v>87</v>
      </c>
      <c r="B96" s="29" t="s">
        <v>40</v>
      </c>
      <c r="C96" s="36" t="s">
        <v>465</v>
      </c>
      <c r="D96" s="30" t="s">
        <v>41</v>
      </c>
      <c r="E96" s="29" t="s">
        <v>33</v>
      </c>
      <c r="F96" s="44"/>
      <c r="G96" s="44">
        <v>313.54000000000002</v>
      </c>
      <c r="H96" s="44"/>
      <c r="I96" s="44">
        <v>2</v>
      </c>
      <c r="J96" s="44"/>
      <c r="K96" s="44"/>
      <c r="L96" s="45">
        <f>G96*I96</f>
        <v>627.08000000000004</v>
      </c>
    </row>
    <row r="97" spans="1:12" x14ac:dyDescent="0.25">
      <c r="A97" s="28"/>
      <c r="B97" s="29"/>
      <c r="C97" s="36"/>
      <c r="D97" s="30"/>
      <c r="E97" s="29"/>
      <c r="F97" s="44"/>
      <c r="G97" s="44"/>
      <c r="H97" s="44"/>
      <c r="I97" s="44"/>
      <c r="J97" s="44"/>
      <c r="K97" s="44"/>
      <c r="L97" s="45"/>
    </row>
    <row r="98" spans="1:12" ht="33.75" x14ac:dyDescent="0.25">
      <c r="A98" s="28" t="s">
        <v>88</v>
      </c>
      <c r="B98" s="29" t="s">
        <v>43</v>
      </c>
      <c r="C98" s="36" t="s">
        <v>19</v>
      </c>
      <c r="D98" s="30" t="s">
        <v>44</v>
      </c>
      <c r="E98" s="29" t="s">
        <v>27</v>
      </c>
      <c r="F98" s="44">
        <v>6</v>
      </c>
      <c r="G98" s="44">
        <v>313.54000000000002</v>
      </c>
      <c r="H98" s="44"/>
      <c r="I98" s="44"/>
      <c r="J98" s="44"/>
      <c r="K98" s="44"/>
      <c r="L98" s="45">
        <f>G98*F98</f>
        <v>1881.2400000000002</v>
      </c>
    </row>
    <row r="99" spans="1:12" x14ac:dyDescent="0.25">
      <c r="A99" s="56"/>
      <c r="B99" s="57"/>
      <c r="C99" s="57"/>
      <c r="D99" s="57"/>
      <c r="E99" s="57"/>
      <c r="F99" s="57"/>
      <c r="G99" s="57"/>
      <c r="H99" s="57"/>
      <c r="I99" s="57"/>
      <c r="J99" s="57"/>
      <c r="K99" s="57"/>
      <c r="L99" s="58"/>
    </row>
    <row r="100" spans="1:12" ht="33.75" x14ac:dyDescent="0.25">
      <c r="A100" s="46" t="s">
        <v>34</v>
      </c>
      <c r="B100" s="47"/>
      <c r="C100" s="48"/>
      <c r="D100" s="49" t="s">
        <v>372</v>
      </c>
      <c r="E100" s="47"/>
      <c r="F100" s="50"/>
      <c r="G100" s="50"/>
      <c r="H100" s="50"/>
      <c r="I100" s="50"/>
      <c r="J100" s="50"/>
      <c r="K100" s="50"/>
      <c r="L100" s="51"/>
    </row>
    <row r="101" spans="1:12" ht="22.5" x14ac:dyDescent="0.25">
      <c r="A101" s="38" t="s">
        <v>36</v>
      </c>
      <c r="B101" s="52"/>
      <c r="C101" s="53"/>
      <c r="D101" s="41" t="s">
        <v>94</v>
      </c>
      <c r="E101" s="52"/>
      <c r="F101" s="42"/>
      <c r="G101" s="42"/>
      <c r="H101" s="42"/>
      <c r="I101" s="42"/>
      <c r="J101" s="42"/>
      <c r="K101" s="42"/>
      <c r="L101" s="43"/>
    </row>
    <row r="102" spans="1:12" ht="22.5" x14ac:dyDescent="0.25">
      <c r="A102" s="28" t="s">
        <v>90</v>
      </c>
      <c r="B102" s="29" t="s">
        <v>468</v>
      </c>
      <c r="C102" s="36" t="s">
        <v>464</v>
      </c>
      <c r="D102" s="30" t="s">
        <v>469</v>
      </c>
      <c r="E102" s="29" t="s">
        <v>27</v>
      </c>
      <c r="F102" s="44"/>
      <c r="G102" s="44"/>
      <c r="H102" s="44"/>
      <c r="I102" s="44"/>
      <c r="J102" s="44"/>
      <c r="K102" s="44"/>
      <c r="L102" s="45">
        <f>SUM(L103:L104)</f>
        <v>1411.2319</v>
      </c>
    </row>
    <row r="103" spans="1:12" x14ac:dyDescent="0.25">
      <c r="A103" s="28"/>
      <c r="B103" s="29"/>
      <c r="C103" s="36"/>
      <c r="D103" s="30" t="s">
        <v>362</v>
      </c>
      <c r="E103" s="29"/>
      <c r="F103" s="44">
        <v>6</v>
      </c>
      <c r="G103" s="44">
        <f>(8*20)+19.92</f>
        <v>179.92000000000002</v>
      </c>
      <c r="H103" s="44"/>
      <c r="I103" s="44"/>
      <c r="J103" s="44"/>
      <c r="K103" s="44"/>
      <c r="L103" s="45">
        <f>G103*F103</f>
        <v>1079.52</v>
      </c>
    </row>
    <row r="104" spans="1:12" x14ac:dyDescent="0.25">
      <c r="A104" s="28"/>
      <c r="B104" s="29"/>
      <c r="C104" s="36"/>
      <c r="D104" s="30" t="s">
        <v>363</v>
      </c>
      <c r="E104" s="29"/>
      <c r="F104" s="44">
        <f>AVERAGE(16.72,7.44,5.28,5.21,5)</f>
        <v>7.93</v>
      </c>
      <c r="G104" s="44">
        <f>(2*20)+1.83</f>
        <v>41.83</v>
      </c>
      <c r="H104" s="44"/>
      <c r="I104" s="44"/>
      <c r="J104" s="44"/>
      <c r="K104" s="44"/>
      <c r="L104" s="45">
        <f>G104*F104</f>
        <v>331.71189999999996</v>
      </c>
    </row>
    <row r="105" spans="1:12" x14ac:dyDescent="0.25">
      <c r="A105" s="28"/>
      <c r="B105" s="29"/>
      <c r="C105" s="36"/>
      <c r="D105" s="30"/>
      <c r="E105" s="29"/>
      <c r="F105" s="44"/>
      <c r="G105" s="44"/>
      <c r="H105" s="44"/>
      <c r="I105" s="44"/>
      <c r="J105" s="44"/>
      <c r="K105" s="44"/>
      <c r="L105" s="45"/>
    </row>
    <row r="106" spans="1:12" ht="56.25" x14ac:dyDescent="0.25">
      <c r="A106" s="28" t="s">
        <v>91</v>
      </c>
      <c r="B106" s="29" t="s">
        <v>37</v>
      </c>
      <c r="C106" s="36" t="s">
        <v>369</v>
      </c>
      <c r="D106" s="30" t="s">
        <v>38</v>
      </c>
      <c r="E106" s="29" t="s">
        <v>33</v>
      </c>
      <c r="F106" s="44"/>
      <c r="G106" s="44"/>
      <c r="H106" s="44"/>
      <c r="I106" s="44"/>
      <c r="J106" s="44"/>
      <c r="K106" s="44"/>
      <c r="L106" s="45">
        <f>SUM(L107:L108)</f>
        <v>443.5</v>
      </c>
    </row>
    <row r="107" spans="1:12" x14ac:dyDescent="0.25">
      <c r="A107" s="28"/>
      <c r="B107" s="29"/>
      <c r="C107" s="36"/>
      <c r="D107" s="30" t="s">
        <v>362</v>
      </c>
      <c r="E107" s="29"/>
      <c r="F107" s="44"/>
      <c r="G107" s="44">
        <f>(8*20)+19.92</f>
        <v>179.92000000000002</v>
      </c>
      <c r="H107" s="44"/>
      <c r="I107" s="44">
        <v>2</v>
      </c>
      <c r="J107" s="44"/>
      <c r="K107" s="44"/>
      <c r="L107" s="45">
        <f>G107*I107</f>
        <v>359.84000000000003</v>
      </c>
    </row>
    <row r="108" spans="1:12" x14ac:dyDescent="0.25">
      <c r="A108" s="28"/>
      <c r="B108" s="29"/>
      <c r="C108" s="36"/>
      <c r="D108" s="30" t="s">
        <v>363</v>
      </c>
      <c r="E108" s="29"/>
      <c r="F108" s="44"/>
      <c r="G108" s="44">
        <f>(2*20)+1.83</f>
        <v>41.83</v>
      </c>
      <c r="H108" s="44"/>
      <c r="I108" s="44">
        <v>2</v>
      </c>
      <c r="J108" s="44"/>
      <c r="K108" s="44"/>
      <c r="L108" s="45">
        <f>G108*I108</f>
        <v>83.66</v>
      </c>
    </row>
    <row r="109" spans="1:12" x14ac:dyDescent="0.25">
      <c r="A109" s="28"/>
      <c r="B109" s="29"/>
      <c r="C109" s="36"/>
      <c r="D109" s="30"/>
      <c r="E109" s="29"/>
      <c r="F109" s="44"/>
      <c r="G109" s="44"/>
      <c r="H109" s="44"/>
      <c r="I109" s="44"/>
      <c r="J109" s="44"/>
      <c r="K109" s="44"/>
      <c r="L109" s="54"/>
    </row>
    <row r="110" spans="1:12" ht="33.75" x14ac:dyDescent="0.25">
      <c r="A110" s="28" t="s">
        <v>92</v>
      </c>
      <c r="B110" s="29" t="s">
        <v>40</v>
      </c>
      <c r="C110" s="36" t="s">
        <v>465</v>
      </c>
      <c r="D110" s="30" t="s">
        <v>41</v>
      </c>
      <c r="E110" s="29" t="s">
        <v>33</v>
      </c>
      <c r="F110" s="44"/>
      <c r="G110" s="44"/>
      <c r="H110" s="44"/>
      <c r="I110" s="44"/>
      <c r="J110" s="44"/>
      <c r="K110" s="44"/>
      <c r="L110" s="45">
        <f>SUM(L111:L112)</f>
        <v>443.5</v>
      </c>
    </row>
    <row r="111" spans="1:12" x14ac:dyDescent="0.25">
      <c r="A111" s="28"/>
      <c r="B111" s="29"/>
      <c r="C111" s="36"/>
      <c r="D111" s="30" t="s">
        <v>362</v>
      </c>
      <c r="E111" s="29"/>
      <c r="F111" s="44"/>
      <c r="G111" s="44">
        <f>(8*20)+19.92</f>
        <v>179.92000000000002</v>
      </c>
      <c r="H111" s="44"/>
      <c r="I111" s="44">
        <v>2</v>
      </c>
      <c r="J111" s="44"/>
      <c r="K111" s="44"/>
      <c r="L111" s="45">
        <f>G111*I111</f>
        <v>359.84000000000003</v>
      </c>
    </row>
    <row r="112" spans="1:12" x14ac:dyDescent="0.25">
      <c r="A112" s="28"/>
      <c r="B112" s="29"/>
      <c r="C112" s="36"/>
      <c r="D112" s="30" t="s">
        <v>363</v>
      </c>
      <c r="E112" s="29"/>
      <c r="F112" s="44"/>
      <c r="G112" s="44">
        <f>(2*20)+1.83</f>
        <v>41.83</v>
      </c>
      <c r="H112" s="44"/>
      <c r="I112" s="44">
        <v>2</v>
      </c>
      <c r="J112" s="44"/>
      <c r="K112" s="44"/>
      <c r="L112" s="45">
        <f>G112*I112</f>
        <v>83.66</v>
      </c>
    </row>
    <row r="113" spans="1:18" x14ac:dyDescent="0.25">
      <c r="A113" s="28"/>
      <c r="B113" s="29"/>
      <c r="C113" s="36"/>
      <c r="D113" s="30"/>
      <c r="E113" s="29"/>
      <c r="F113" s="44"/>
      <c r="G113" s="44"/>
      <c r="H113" s="44"/>
      <c r="I113" s="44"/>
      <c r="J113" s="44"/>
      <c r="K113" s="44"/>
      <c r="L113" s="45"/>
    </row>
    <row r="114" spans="1:18" ht="33.75" x14ac:dyDescent="0.25">
      <c r="A114" s="28" t="s">
        <v>93</v>
      </c>
      <c r="B114" s="29" t="s">
        <v>43</v>
      </c>
      <c r="C114" s="36" t="s">
        <v>19</v>
      </c>
      <c r="D114" s="30" t="s">
        <v>44</v>
      </c>
      <c r="E114" s="29" t="s">
        <v>27</v>
      </c>
      <c r="F114" s="44">
        <v>6</v>
      </c>
      <c r="G114" s="44">
        <v>313.54000000000002</v>
      </c>
      <c r="H114" s="44"/>
      <c r="I114" s="44"/>
      <c r="J114" s="44"/>
      <c r="K114" s="44"/>
      <c r="L114" s="45">
        <f>SUM(L115:L116)</f>
        <v>1411.2319</v>
      </c>
    </row>
    <row r="115" spans="1:18" x14ac:dyDescent="0.25">
      <c r="A115" s="28"/>
      <c r="B115" s="29"/>
      <c r="C115" s="36"/>
      <c r="D115" s="30" t="s">
        <v>362</v>
      </c>
      <c r="E115" s="29"/>
      <c r="F115" s="44">
        <v>6</v>
      </c>
      <c r="G115" s="44">
        <f>(8*20)+19.92</f>
        <v>179.92000000000002</v>
      </c>
      <c r="H115" s="44"/>
      <c r="I115" s="44"/>
      <c r="J115" s="44"/>
      <c r="K115" s="44"/>
      <c r="L115" s="45">
        <f>G115*F115</f>
        <v>1079.52</v>
      </c>
    </row>
    <row r="116" spans="1:18" x14ac:dyDescent="0.25">
      <c r="A116" s="28"/>
      <c r="B116" s="29"/>
      <c r="C116" s="36"/>
      <c r="D116" s="30" t="s">
        <v>363</v>
      </c>
      <c r="E116" s="29"/>
      <c r="F116" s="44">
        <f>AVERAGE(16.72,7.44,5.28,5.21,5)</f>
        <v>7.93</v>
      </c>
      <c r="G116" s="44">
        <f>(2*20)+1.83</f>
        <v>41.83</v>
      </c>
      <c r="H116" s="44"/>
      <c r="I116" s="44"/>
      <c r="J116" s="44"/>
      <c r="K116" s="44"/>
      <c r="L116" s="45">
        <f>G116*F116</f>
        <v>331.71189999999996</v>
      </c>
    </row>
    <row r="117" spans="1:18" x14ac:dyDescent="0.25">
      <c r="A117" s="28"/>
      <c r="B117" s="29"/>
      <c r="C117" s="36"/>
      <c r="D117" s="30"/>
      <c r="E117" s="29"/>
      <c r="F117" s="44"/>
      <c r="G117" s="44"/>
      <c r="H117" s="44"/>
      <c r="I117" s="44"/>
      <c r="J117" s="44"/>
      <c r="K117" s="44"/>
      <c r="L117" s="45"/>
    </row>
    <row r="118" spans="1:18" x14ac:dyDescent="0.25">
      <c r="A118" s="38" t="s">
        <v>365</v>
      </c>
      <c r="B118" s="39"/>
      <c r="C118" s="40"/>
      <c r="D118" s="41" t="s">
        <v>364</v>
      </c>
      <c r="E118" s="39"/>
      <c r="F118" s="78"/>
      <c r="G118" s="78"/>
      <c r="H118" s="78"/>
      <c r="I118" s="78"/>
      <c r="J118" s="78"/>
      <c r="K118" s="78"/>
      <c r="L118" s="43"/>
    </row>
    <row r="119" spans="1:18" ht="56.25" x14ac:dyDescent="0.25">
      <c r="A119" s="28" t="s">
        <v>470</v>
      </c>
      <c r="B119" s="29" t="s">
        <v>368</v>
      </c>
      <c r="C119" s="36" t="s">
        <v>369</v>
      </c>
      <c r="D119" s="30" t="s">
        <v>367</v>
      </c>
      <c r="E119" s="29" t="s">
        <v>370</v>
      </c>
      <c r="F119" s="44"/>
      <c r="G119" s="44"/>
      <c r="H119" s="44"/>
      <c r="I119" s="44"/>
      <c r="J119" s="44"/>
      <c r="K119" s="44"/>
      <c r="L119" s="45">
        <f>L120</f>
        <v>38.675000000000004</v>
      </c>
      <c r="N119" s="79" t="s">
        <v>366</v>
      </c>
    </row>
    <row r="120" spans="1:18" ht="22.5" x14ac:dyDescent="0.25">
      <c r="A120" s="28"/>
      <c r="B120" s="29"/>
      <c r="C120" s="36"/>
      <c r="D120" s="30" t="s">
        <v>371</v>
      </c>
      <c r="E120" s="29"/>
      <c r="F120" s="44">
        <v>2</v>
      </c>
      <c r="G120" s="44">
        <v>29.75</v>
      </c>
      <c r="H120" s="44">
        <v>0.65</v>
      </c>
      <c r="I120" s="44"/>
      <c r="J120" s="44"/>
      <c r="K120" s="44"/>
      <c r="L120" s="54">
        <f>(F120*G120*H120)</f>
        <v>38.675000000000004</v>
      </c>
    </row>
    <row r="121" spans="1:18" x14ac:dyDescent="0.25">
      <c r="A121" s="28"/>
      <c r="B121" s="29"/>
      <c r="C121" s="36"/>
      <c r="D121" s="30"/>
      <c r="E121" s="29"/>
      <c r="F121" s="44"/>
      <c r="G121" s="44"/>
      <c r="H121" s="44"/>
      <c r="I121" s="44"/>
      <c r="J121" s="44"/>
      <c r="K121" s="44"/>
      <c r="L121" s="45"/>
    </row>
    <row r="122" spans="1:18" ht="22.5" x14ac:dyDescent="0.25">
      <c r="A122" s="28" t="s">
        <v>471</v>
      </c>
      <c r="B122" s="29" t="s">
        <v>374</v>
      </c>
      <c r="C122" s="36" t="s">
        <v>376</v>
      </c>
      <c r="D122" s="30" t="s">
        <v>375</v>
      </c>
      <c r="E122" s="29" t="s">
        <v>370</v>
      </c>
      <c r="F122" s="44"/>
      <c r="G122" s="44"/>
      <c r="H122" s="44"/>
      <c r="I122" s="44"/>
      <c r="J122" s="44"/>
      <c r="K122" s="44"/>
      <c r="L122" s="45">
        <f>SUM(L123:L124)</f>
        <v>67.16062500000001</v>
      </c>
      <c r="N122" s="79" t="s">
        <v>373</v>
      </c>
    </row>
    <row r="123" spans="1:18" x14ac:dyDescent="0.25">
      <c r="A123" s="28"/>
      <c r="B123" s="29"/>
      <c r="C123" s="36"/>
      <c r="D123" s="30" t="s">
        <v>377</v>
      </c>
      <c r="E123" s="29"/>
      <c r="F123" s="44">
        <v>1.55</v>
      </c>
      <c r="G123" s="44">
        <v>29.75</v>
      </c>
      <c r="H123" s="44">
        <v>0.65</v>
      </c>
      <c r="I123" s="44"/>
      <c r="J123" s="44"/>
      <c r="K123" s="44"/>
      <c r="L123" s="54">
        <f>(F123*G123*H123)</f>
        <v>29.973125000000003</v>
      </c>
    </row>
    <row r="124" spans="1:18" x14ac:dyDescent="0.25">
      <c r="A124" s="28"/>
      <c r="B124" s="29"/>
      <c r="C124" s="36"/>
      <c r="D124" s="30" t="s">
        <v>378</v>
      </c>
      <c r="E124" s="29"/>
      <c r="F124" s="44">
        <f>AVERAGE(0.75,0.5)</f>
        <v>0.625</v>
      </c>
      <c r="G124" s="44">
        <v>29.75</v>
      </c>
      <c r="H124" s="44">
        <v>2</v>
      </c>
      <c r="I124" s="44"/>
      <c r="J124" s="44"/>
      <c r="K124" s="44"/>
      <c r="L124" s="54">
        <f>(F124*G124*H124)</f>
        <v>37.1875</v>
      </c>
    </row>
    <row r="125" spans="1:18" x14ac:dyDescent="0.25">
      <c r="A125" s="28"/>
      <c r="B125" s="29"/>
      <c r="C125" s="36"/>
      <c r="D125" s="30"/>
      <c r="E125" s="29"/>
      <c r="F125" s="44"/>
      <c r="G125" s="44"/>
      <c r="H125" s="44"/>
      <c r="I125" s="44"/>
      <c r="J125" s="44"/>
      <c r="K125" s="44"/>
      <c r="L125" s="45"/>
    </row>
    <row r="126" spans="1:18" ht="22.5" x14ac:dyDescent="0.25">
      <c r="A126" s="28" t="s">
        <v>472</v>
      </c>
      <c r="B126" s="29" t="s">
        <v>474</v>
      </c>
      <c r="C126" s="36" t="s">
        <v>19</v>
      </c>
      <c r="D126" s="30" t="s">
        <v>381</v>
      </c>
      <c r="E126" s="29" t="s">
        <v>370</v>
      </c>
      <c r="F126" s="44"/>
      <c r="G126" s="44"/>
      <c r="H126" s="44"/>
      <c r="I126" s="44"/>
      <c r="J126" s="44"/>
      <c r="K126" s="44"/>
      <c r="L126" s="45">
        <f>L127</f>
        <v>178.5</v>
      </c>
      <c r="N126" s="80" t="s">
        <v>287</v>
      </c>
      <c r="O126" s="81" t="s">
        <v>379</v>
      </c>
      <c r="P126" s="81" t="s">
        <v>380</v>
      </c>
      <c r="Q126" s="82" t="s">
        <v>381</v>
      </c>
      <c r="R126" s="81" t="s">
        <v>370</v>
      </c>
    </row>
    <row r="127" spans="1:18" ht="22.5" x14ac:dyDescent="0.25">
      <c r="A127" s="28"/>
      <c r="B127" s="29"/>
      <c r="C127" s="36"/>
      <c r="D127" s="30" t="s">
        <v>382</v>
      </c>
      <c r="E127" s="29"/>
      <c r="F127" s="44">
        <v>6</v>
      </c>
      <c r="G127" s="44">
        <v>29.75</v>
      </c>
      <c r="H127" s="44">
        <v>1</v>
      </c>
      <c r="I127" s="44"/>
      <c r="J127" s="44"/>
      <c r="K127" s="44"/>
      <c r="L127" s="54">
        <f>(F127*G127*H127)</f>
        <v>178.5</v>
      </c>
    </row>
    <row r="128" spans="1:18" x14ac:dyDescent="0.25">
      <c r="A128" s="28"/>
      <c r="B128" s="29"/>
      <c r="C128" s="36"/>
      <c r="D128" s="30"/>
      <c r="E128" s="29"/>
      <c r="F128" s="44"/>
      <c r="G128" s="44"/>
      <c r="H128" s="44"/>
      <c r="I128" s="44"/>
      <c r="J128" s="44"/>
      <c r="K128" s="44"/>
      <c r="L128" s="54"/>
    </row>
    <row r="129" spans="1:14" ht="22.5" x14ac:dyDescent="0.25">
      <c r="A129" s="28" t="s">
        <v>473</v>
      </c>
      <c r="B129" s="29" t="s">
        <v>386</v>
      </c>
      <c r="C129" s="36" t="s">
        <v>376</v>
      </c>
      <c r="D129" s="30" t="s">
        <v>384</v>
      </c>
      <c r="E129" s="29" t="s">
        <v>27</v>
      </c>
      <c r="F129" s="44"/>
      <c r="G129" s="44"/>
      <c r="H129" s="44"/>
      <c r="I129" s="44"/>
      <c r="J129" s="44"/>
      <c r="K129" s="44"/>
      <c r="L129" s="45">
        <f>L130</f>
        <v>44.625</v>
      </c>
      <c r="N129" s="79" t="s">
        <v>383</v>
      </c>
    </row>
    <row r="130" spans="1:14" ht="22.5" x14ac:dyDescent="0.25">
      <c r="A130" s="28"/>
      <c r="B130" s="29"/>
      <c r="C130" s="36"/>
      <c r="D130" s="30" t="s">
        <v>385</v>
      </c>
      <c r="E130" s="29"/>
      <c r="F130" s="44">
        <v>1.5</v>
      </c>
      <c r="G130" s="44">
        <v>29.75</v>
      </c>
      <c r="H130" s="44"/>
      <c r="I130" s="44"/>
      <c r="J130" s="44"/>
      <c r="K130" s="44"/>
      <c r="L130" s="54">
        <f>F130*G130</f>
        <v>44.625</v>
      </c>
    </row>
    <row r="131" spans="1:14" x14ac:dyDescent="0.25">
      <c r="A131" s="56"/>
      <c r="B131" s="57"/>
      <c r="C131" s="57"/>
      <c r="D131" s="57"/>
      <c r="E131" s="57"/>
      <c r="F131" s="57"/>
      <c r="G131" s="57"/>
      <c r="H131" s="57"/>
      <c r="I131" s="57"/>
      <c r="J131" s="57"/>
      <c r="K131" s="57"/>
      <c r="L131" s="58"/>
    </row>
    <row r="132" spans="1:14" ht="33.75" x14ac:dyDescent="0.25">
      <c r="A132" s="38" t="s">
        <v>39</v>
      </c>
      <c r="B132" s="52"/>
      <c r="C132" s="53"/>
      <c r="D132" s="41" t="s">
        <v>251</v>
      </c>
      <c r="E132" s="52"/>
      <c r="F132" s="42"/>
      <c r="G132" s="42"/>
      <c r="H132" s="42"/>
      <c r="I132" s="42"/>
      <c r="J132" s="42"/>
      <c r="K132" s="42"/>
      <c r="L132" s="43"/>
    </row>
    <row r="133" spans="1:14" ht="22.5" x14ac:dyDescent="0.25">
      <c r="A133" s="28" t="s">
        <v>95</v>
      </c>
      <c r="B133" s="29" t="s">
        <v>468</v>
      </c>
      <c r="C133" s="36" t="s">
        <v>464</v>
      </c>
      <c r="D133" s="30" t="s">
        <v>469</v>
      </c>
      <c r="E133" s="29" t="s">
        <v>27</v>
      </c>
      <c r="F133" s="44">
        <v>6</v>
      </c>
      <c r="G133" s="44">
        <f>(2*20)+6.98</f>
        <v>46.980000000000004</v>
      </c>
      <c r="H133" s="44"/>
      <c r="I133" s="44"/>
      <c r="J133" s="44"/>
      <c r="K133" s="44"/>
      <c r="L133" s="45">
        <f>G133*F133</f>
        <v>281.88</v>
      </c>
    </row>
    <row r="134" spans="1:14" x14ac:dyDescent="0.25">
      <c r="A134" s="28"/>
      <c r="B134" s="29"/>
      <c r="C134" s="36"/>
      <c r="D134" s="30"/>
      <c r="E134" s="29"/>
      <c r="F134" s="44"/>
      <c r="G134" s="44"/>
      <c r="H134" s="44"/>
      <c r="I134" s="44"/>
      <c r="J134" s="44"/>
      <c r="K134" s="44"/>
      <c r="L134" s="45"/>
    </row>
    <row r="135" spans="1:14" ht="56.25" x14ac:dyDescent="0.25">
      <c r="A135" s="28" t="s">
        <v>96</v>
      </c>
      <c r="B135" s="29" t="s">
        <v>37</v>
      </c>
      <c r="C135" s="36" t="s">
        <v>369</v>
      </c>
      <c r="D135" s="30" t="s">
        <v>38</v>
      </c>
      <c r="E135" s="29" t="s">
        <v>33</v>
      </c>
      <c r="F135" s="44"/>
      <c r="G135" s="44">
        <v>46.98</v>
      </c>
      <c r="H135" s="44"/>
      <c r="I135" s="44">
        <v>2</v>
      </c>
      <c r="J135" s="44"/>
      <c r="K135" s="44"/>
      <c r="L135" s="45">
        <f>G135*I135</f>
        <v>93.96</v>
      </c>
    </row>
    <row r="136" spans="1:14" x14ac:dyDescent="0.25">
      <c r="A136" s="28"/>
      <c r="B136" s="29"/>
      <c r="C136" s="36"/>
      <c r="D136" s="30"/>
      <c r="E136" s="29"/>
      <c r="F136" s="44"/>
      <c r="G136" s="44"/>
      <c r="H136" s="44"/>
      <c r="I136" s="44"/>
      <c r="J136" s="44"/>
      <c r="K136" s="44"/>
      <c r="L136" s="54"/>
    </row>
    <row r="137" spans="1:14" ht="33.75" x14ac:dyDescent="0.25">
      <c r="A137" s="28" t="s">
        <v>97</v>
      </c>
      <c r="B137" s="29" t="s">
        <v>40</v>
      </c>
      <c r="C137" s="36" t="s">
        <v>465</v>
      </c>
      <c r="D137" s="30" t="s">
        <v>41</v>
      </c>
      <c r="E137" s="29" t="s">
        <v>33</v>
      </c>
      <c r="F137" s="44"/>
      <c r="G137" s="44">
        <v>46.98</v>
      </c>
      <c r="H137" s="44"/>
      <c r="I137" s="44">
        <v>2</v>
      </c>
      <c r="J137" s="44"/>
      <c r="K137" s="44"/>
      <c r="L137" s="45">
        <f>G137*I137</f>
        <v>93.96</v>
      </c>
    </row>
    <row r="138" spans="1:14" x14ac:dyDescent="0.25">
      <c r="A138" s="28"/>
      <c r="B138" s="29"/>
      <c r="C138" s="36"/>
      <c r="D138" s="30"/>
      <c r="E138" s="29"/>
      <c r="F138" s="44"/>
      <c r="G138" s="44"/>
      <c r="H138" s="44"/>
      <c r="I138" s="44"/>
      <c r="J138" s="44"/>
      <c r="K138" s="44"/>
      <c r="L138" s="45"/>
    </row>
    <row r="139" spans="1:14" ht="33.75" x14ac:dyDescent="0.25">
      <c r="A139" s="28" t="s">
        <v>98</v>
      </c>
      <c r="B139" s="29" t="s">
        <v>43</v>
      </c>
      <c r="C139" s="36" t="s">
        <v>19</v>
      </c>
      <c r="D139" s="30" t="s">
        <v>44</v>
      </c>
      <c r="E139" s="29" t="s">
        <v>27</v>
      </c>
      <c r="F139" s="44">
        <v>6</v>
      </c>
      <c r="G139" s="44">
        <v>46.98</v>
      </c>
      <c r="H139" s="44"/>
      <c r="I139" s="44"/>
      <c r="J139" s="44"/>
      <c r="K139" s="44"/>
      <c r="L139" s="45">
        <f>G139*F139</f>
        <v>281.88</v>
      </c>
    </row>
    <row r="140" spans="1:14" x14ac:dyDescent="0.25">
      <c r="A140" s="28"/>
      <c r="B140" s="29"/>
      <c r="C140" s="36"/>
      <c r="D140" s="30"/>
      <c r="E140" s="29"/>
      <c r="F140" s="44"/>
      <c r="G140" s="44"/>
      <c r="H140" s="44"/>
      <c r="I140" s="44"/>
      <c r="J140" s="44"/>
      <c r="K140" s="44"/>
      <c r="L140" s="45"/>
    </row>
    <row r="141" spans="1:14" ht="33.75" x14ac:dyDescent="0.25">
      <c r="A141" s="38" t="s">
        <v>42</v>
      </c>
      <c r="B141" s="52"/>
      <c r="C141" s="53"/>
      <c r="D141" s="41" t="s">
        <v>387</v>
      </c>
      <c r="E141" s="52"/>
      <c r="F141" s="42"/>
      <c r="G141" s="42"/>
      <c r="H141" s="42"/>
      <c r="I141" s="42"/>
      <c r="J141" s="42"/>
      <c r="K141" s="42"/>
      <c r="L141" s="43"/>
    </row>
    <row r="142" spans="1:14" ht="22.5" x14ac:dyDescent="0.25">
      <c r="A142" s="28" t="s">
        <v>252</v>
      </c>
      <c r="B142" s="29" t="s">
        <v>468</v>
      </c>
      <c r="C142" s="36" t="s">
        <v>464</v>
      </c>
      <c r="D142" s="30" t="s">
        <v>469</v>
      </c>
      <c r="E142" s="29" t="s">
        <v>27</v>
      </c>
      <c r="F142" s="44">
        <v>6</v>
      </c>
      <c r="G142" s="44">
        <f>(2*20)+4.8</f>
        <v>44.8</v>
      </c>
      <c r="H142" s="44"/>
      <c r="I142" s="44"/>
      <c r="J142" s="44"/>
      <c r="K142" s="44"/>
      <c r="L142" s="45">
        <f>G142*F142</f>
        <v>268.79999999999995</v>
      </c>
    </row>
    <row r="143" spans="1:14" x14ac:dyDescent="0.25">
      <c r="A143" s="28"/>
      <c r="B143" s="29"/>
      <c r="C143" s="36"/>
      <c r="D143" s="30"/>
      <c r="E143" s="29"/>
      <c r="F143" s="44"/>
      <c r="G143" s="44"/>
      <c r="H143" s="44"/>
      <c r="I143" s="44"/>
      <c r="J143" s="44"/>
      <c r="K143" s="44"/>
      <c r="L143" s="45"/>
    </row>
    <row r="144" spans="1:14" ht="56.25" x14ac:dyDescent="0.25">
      <c r="A144" s="28" t="s">
        <v>253</v>
      </c>
      <c r="B144" s="29" t="s">
        <v>37</v>
      </c>
      <c r="C144" s="36" t="s">
        <v>369</v>
      </c>
      <c r="D144" s="30" t="s">
        <v>38</v>
      </c>
      <c r="E144" s="29" t="s">
        <v>33</v>
      </c>
      <c r="F144" s="44"/>
      <c r="G144" s="44">
        <v>44.8</v>
      </c>
      <c r="H144" s="44"/>
      <c r="I144" s="44">
        <v>2</v>
      </c>
      <c r="J144" s="44"/>
      <c r="K144" s="44"/>
      <c r="L144" s="45">
        <f>G144*I144</f>
        <v>89.6</v>
      </c>
    </row>
    <row r="145" spans="1:14" x14ac:dyDescent="0.25">
      <c r="A145" s="28"/>
      <c r="B145" s="29"/>
      <c r="C145" s="36"/>
      <c r="D145" s="30"/>
      <c r="E145" s="29"/>
      <c r="F145" s="44"/>
      <c r="G145" s="44"/>
      <c r="H145" s="44"/>
      <c r="I145" s="44"/>
      <c r="J145" s="44"/>
      <c r="K145" s="44"/>
      <c r="L145" s="54"/>
    </row>
    <row r="146" spans="1:14" ht="33.75" x14ac:dyDescent="0.25">
      <c r="A146" s="28" t="s">
        <v>254</v>
      </c>
      <c r="B146" s="29" t="s">
        <v>40</v>
      </c>
      <c r="C146" s="36" t="s">
        <v>465</v>
      </c>
      <c r="D146" s="30" t="s">
        <v>41</v>
      </c>
      <c r="E146" s="29" t="s">
        <v>33</v>
      </c>
      <c r="F146" s="44"/>
      <c r="G146" s="44">
        <v>44.8</v>
      </c>
      <c r="H146" s="44"/>
      <c r="I146" s="44">
        <v>2</v>
      </c>
      <c r="J146" s="44"/>
      <c r="K146" s="44"/>
      <c r="L146" s="45">
        <f>G146*I146</f>
        <v>89.6</v>
      </c>
    </row>
    <row r="147" spans="1:14" x14ac:dyDescent="0.25">
      <c r="A147" s="28"/>
      <c r="B147" s="29"/>
      <c r="C147" s="36"/>
      <c r="D147" s="30"/>
      <c r="E147" s="29"/>
      <c r="F147" s="44"/>
      <c r="G147" s="44"/>
      <c r="H147" s="44"/>
      <c r="I147" s="44"/>
      <c r="J147" s="44"/>
      <c r="K147" s="44"/>
      <c r="L147" s="45"/>
    </row>
    <row r="148" spans="1:14" ht="33.75" x14ac:dyDescent="0.25">
      <c r="A148" s="28" t="s">
        <v>255</v>
      </c>
      <c r="B148" s="29" t="s">
        <v>43</v>
      </c>
      <c r="C148" s="36" t="s">
        <v>19</v>
      </c>
      <c r="D148" s="30" t="s">
        <v>44</v>
      </c>
      <c r="E148" s="29" t="s">
        <v>27</v>
      </c>
      <c r="F148" s="44">
        <v>6</v>
      </c>
      <c r="G148" s="44">
        <v>44.8</v>
      </c>
      <c r="H148" s="44"/>
      <c r="I148" s="44"/>
      <c r="J148" s="44"/>
      <c r="K148" s="44"/>
      <c r="L148" s="45">
        <f>G148*F148</f>
        <v>268.79999999999995</v>
      </c>
    </row>
    <row r="149" spans="1:14" x14ac:dyDescent="0.25">
      <c r="A149" s="56"/>
      <c r="B149" s="57"/>
      <c r="C149" s="57"/>
      <c r="D149" s="57"/>
      <c r="E149" s="57"/>
      <c r="F149" s="57"/>
      <c r="G149" s="57"/>
      <c r="H149" s="57"/>
      <c r="I149" s="57"/>
      <c r="J149" s="57"/>
      <c r="K149" s="57"/>
      <c r="L149" s="58"/>
    </row>
    <row r="150" spans="1:14" x14ac:dyDescent="0.25">
      <c r="A150" s="46" t="s">
        <v>99</v>
      </c>
      <c r="B150" s="47"/>
      <c r="C150" s="48"/>
      <c r="D150" s="49" t="s">
        <v>100</v>
      </c>
      <c r="E150" s="47"/>
      <c r="F150" s="50"/>
      <c r="G150" s="50"/>
      <c r="H150" s="50"/>
      <c r="I150" s="50"/>
      <c r="J150" s="50"/>
      <c r="K150" s="50"/>
      <c r="L150" s="51"/>
    </row>
    <row r="151" spans="1:14" s="85" customFormat="1" ht="22.5" x14ac:dyDescent="0.25">
      <c r="A151" s="38" t="s">
        <v>101</v>
      </c>
      <c r="B151" s="52"/>
      <c r="C151" s="53"/>
      <c r="D151" s="41" t="s">
        <v>388</v>
      </c>
      <c r="E151" s="52"/>
      <c r="F151" s="42"/>
      <c r="G151" s="42"/>
      <c r="H151" s="42"/>
      <c r="I151" s="42"/>
      <c r="J151" s="42"/>
      <c r="K151" s="42"/>
      <c r="L151" s="43"/>
      <c r="N151" s="87"/>
    </row>
    <row r="152" spans="1:14" s="85" customFormat="1" ht="22.5" x14ac:dyDescent="0.25">
      <c r="A152" s="28" t="s">
        <v>102</v>
      </c>
      <c r="B152" s="29" t="s">
        <v>468</v>
      </c>
      <c r="C152" s="36" t="s">
        <v>464</v>
      </c>
      <c r="D152" s="30" t="s">
        <v>469</v>
      </c>
      <c r="E152" s="29" t="s">
        <v>27</v>
      </c>
      <c r="F152" s="44">
        <v>10</v>
      </c>
      <c r="G152" s="44">
        <f>(11*20)+0</f>
        <v>220</v>
      </c>
      <c r="H152" s="44"/>
      <c r="I152" s="44"/>
      <c r="J152" s="44"/>
      <c r="K152" s="44"/>
      <c r="L152" s="45">
        <f>G152*F152</f>
        <v>2200</v>
      </c>
      <c r="N152" s="87"/>
    </row>
    <row r="153" spans="1:14" s="85" customFormat="1" x14ac:dyDescent="0.25">
      <c r="A153" s="28"/>
      <c r="B153" s="29"/>
      <c r="C153" s="36"/>
      <c r="D153" s="30"/>
      <c r="E153" s="29"/>
      <c r="F153" s="44"/>
      <c r="G153" s="44"/>
      <c r="H153" s="44"/>
      <c r="I153" s="44"/>
      <c r="J153" s="44"/>
      <c r="K153" s="44"/>
      <c r="L153" s="45"/>
      <c r="N153" s="87"/>
    </row>
    <row r="154" spans="1:14" s="85" customFormat="1" ht="56.25" x14ac:dyDescent="0.25">
      <c r="A154" s="28" t="s">
        <v>103</v>
      </c>
      <c r="B154" s="29" t="s">
        <v>37</v>
      </c>
      <c r="C154" s="36" t="s">
        <v>369</v>
      </c>
      <c r="D154" s="30" t="s">
        <v>38</v>
      </c>
      <c r="E154" s="29" t="s">
        <v>33</v>
      </c>
      <c r="F154" s="44"/>
      <c r="G154" s="44">
        <v>220</v>
      </c>
      <c r="H154" s="44"/>
      <c r="I154" s="44">
        <v>2</v>
      </c>
      <c r="J154" s="44"/>
      <c r="K154" s="44"/>
      <c r="L154" s="45">
        <f>G154*I154</f>
        <v>440</v>
      </c>
      <c r="N154" s="87"/>
    </row>
    <row r="155" spans="1:14" s="85" customFormat="1" x14ac:dyDescent="0.25">
      <c r="A155" s="28"/>
      <c r="B155" s="29"/>
      <c r="C155" s="36"/>
      <c r="D155" s="30"/>
      <c r="E155" s="29"/>
      <c r="F155" s="44"/>
      <c r="G155" s="44"/>
      <c r="H155" s="44"/>
      <c r="I155" s="44"/>
      <c r="J155" s="44"/>
      <c r="K155" s="44"/>
      <c r="L155" s="54"/>
      <c r="N155" s="87"/>
    </row>
    <row r="156" spans="1:14" s="85" customFormat="1" ht="33.75" x14ac:dyDescent="0.25">
      <c r="A156" s="28" t="s">
        <v>104</v>
      </c>
      <c r="B156" s="29" t="s">
        <v>40</v>
      </c>
      <c r="C156" s="36" t="s">
        <v>465</v>
      </c>
      <c r="D156" s="30" t="s">
        <v>41</v>
      </c>
      <c r="E156" s="29" t="s">
        <v>33</v>
      </c>
      <c r="F156" s="44"/>
      <c r="G156" s="44">
        <v>220</v>
      </c>
      <c r="H156" s="44"/>
      <c r="I156" s="44">
        <v>2</v>
      </c>
      <c r="J156" s="44"/>
      <c r="K156" s="44"/>
      <c r="L156" s="45">
        <f>G156*I156</f>
        <v>440</v>
      </c>
      <c r="N156" s="87"/>
    </row>
    <row r="157" spans="1:14" s="85" customFormat="1" x14ac:dyDescent="0.25">
      <c r="A157" s="28"/>
      <c r="B157" s="29"/>
      <c r="C157" s="36"/>
      <c r="D157" s="30"/>
      <c r="E157" s="29"/>
      <c r="F157" s="44"/>
      <c r="G157" s="44"/>
      <c r="H157" s="44"/>
      <c r="I157" s="44"/>
      <c r="J157" s="44"/>
      <c r="K157" s="44"/>
      <c r="L157" s="45"/>
      <c r="N157" s="87"/>
    </row>
    <row r="158" spans="1:14" s="85" customFormat="1" ht="33.75" x14ac:dyDescent="0.25">
      <c r="A158" s="28" t="s">
        <v>105</v>
      </c>
      <c r="B158" s="29" t="s">
        <v>43</v>
      </c>
      <c r="C158" s="36" t="s">
        <v>19</v>
      </c>
      <c r="D158" s="30" t="s">
        <v>44</v>
      </c>
      <c r="E158" s="29" t="s">
        <v>27</v>
      </c>
      <c r="F158" s="44">
        <v>10</v>
      </c>
      <c r="G158" s="44">
        <v>220</v>
      </c>
      <c r="H158" s="44"/>
      <c r="I158" s="44"/>
      <c r="J158" s="44"/>
      <c r="K158" s="44"/>
      <c r="L158" s="45">
        <f>G158*F158</f>
        <v>2200</v>
      </c>
      <c r="N158" s="87"/>
    </row>
    <row r="159" spans="1:14" s="85" customFormat="1" x14ac:dyDescent="0.25">
      <c r="A159" s="83"/>
      <c r="B159" s="70"/>
      <c r="C159" s="65"/>
      <c r="D159" s="84"/>
      <c r="E159" s="70"/>
      <c r="F159" s="44"/>
      <c r="G159" s="44"/>
      <c r="H159" s="44"/>
      <c r="I159" s="44"/>
      <c r="J159" s="44"/>
      <c r="K159" s="44"/>
      <c r="L159" s="54"/>
      <c r="N159" s="87"/>
    </row>
    <row r="160" spans="1:14" ht="22.5" x14ac:dyDescent="0.25">
      <c r="A160" s="38" t="s">
        <v>107</v>
      </c>
      <c r="B160" s="52"/>
      <c r="C160" s="53"/>
      <c r="D160" s="41" t="s">
        <v>106</v>
      </c>
      <c r="E160" s="52"/>
      <c r="F160" s="42"/>
      <c r="G160" s="42"/>
      <c r="H160" s="42"/>
      <c r="I160" s="42"/>
      <c r="J160" s="42"/>
      <c r="K160" s="42"/>
      <c r="L160" s="43"/>
    </row>
    <row r="161" spans="1:12" ht="22.5" x14ac:dyDescent="0.25">
      <c r="A161" s="28" t="s">
        <v>108</v>
      </c>
      <c r="B161" s="29" t="s">
        <v>468</v>
      </c>
      <c r="C161" s="36" t="s">
        <v>464</v>
      </c>
      <c r="D161" s="30" t="s">
        <v>469</v>
      </c>
      <c r="E161" s="29" t="s">
        <v>27</v>
      </c>
      <c r="F161" s="44">
        <v>7</v>
      </c>
      <c r="G161" s="44">
        <f>(33*20)+14.36</f>
        <v>674.36</v>
      </c>
      <c r="H161" s="44"/>
      <c r="I161" s="44"/>
      <c r="J161" s="44"/>
      <c r="K161" s="44"/>
      <c r="L161" s="45">
        <f>G161*F161</f>
        <v>4720.5200000000004</v>
      </c>
    </row>
    <row r="162" spans="1:12" x14ac:dyDescent="0.25">
      <c r="A162" s="28"/>
      <c r="B162" s="29"/>
      <c r="C162" s="36"/>
      <c r="D162" s="30"/>
      <c r="E162" s="29"/>
      <c r="F162" s="44"/>
      <c r="G162" s="44"/>
      <c r="H162" s="44"/>
      <c r="I162" s="44"/>
      <c r="J162" s="44"/>
      <c r="K162" s="44"/>
      <c r="L162" s="45"/>
    </row>
    <row r="163" spans="1:12" ht="56.25" x14ac:dyDescent="0.25">
      <c r="A163" s="28" t="s">
        <v>109</v>
      </c>
      <c r="B163" s="29" t="s">
        <v>37</v>
      </c>
      <c r="C163" s="36" t="s">
        <v>369</v>
      </c>
      <c r="D163" s="30" t="s">
        <v>38</v>
      </c>
      <c r="E163" s="29" t="s">
        <v>33</v>
      </c>
      <c r="F163" s="44"/>
      <c r="G163" s="44">
        <v>674.36</v>
      </c>
      <c r="H163" s="44"/>
      <c r="I163" s="44">
        <v>2</v>
      </c>
      <c r="J163" s="44"/>
      <c r="K163" s="44"/>
      <c r="L163" s="45">
        <f>G163*I163</f>
        <v>1348.72</v>
      </c>
    </row>
    <row r="164" spans="1:12" x14ac:dyDescent="0.25">
      <c r="A164" s="28"/>
      <c r="B164" s="29"/>
      <c r="C164" s="36"/>
      <c r="D164" s="30"/>
      <c r="E164" s="29"/>
      <c r="F164" s="44"/>
      <c r="G164" s="44"/>
      <c r="H164" s="44"/>
      <c r="I164" s="44"/>
      <c r="J164" s="44"/>
      <c r="K164" s="44"/>
      <c r="L164" s="54"/>
    </row>
    <row r="165" spans="1:12" ht="33.75" x14ac:dyDescent="0.25">
      <c r="A165" s="28" t="s">
        <v>110</v>
      </c>
      <c r="B165" s="29" t="s">
        <v>40</v>
      </c>
      <c r="C165" s="36" t="s">
        <v>465</v>
      </c>
      <c r="D165" s="30" t="s">
        <v>41</v>
      </c>
      <c r="E165" s="29" t="s">
        <v>33</v>
      </c>
      <c r="F165" s="44"/>
      <c r="G165" s="44">
        <v>674.36</v>
      </c>
      <c r="H165" s="44"/>
      <c r="I165" s="44">
        <v>2</v>
      </c>
      <c r="J165" s="44"/>
      <c r="K165" s="44"/>
      <c r="L165" s="45">
        <f>G165*I165</f>
        <v>1348.72</v>
      </c>
    </row>
    <row r="166" spans="1:12" x14ac:dyDescent="0.25">
      <c r="A166" s="28"/>
      <c r="B166" s="29"/>
      <c r="C166" s="36"/>
      <c r="D166" s="30"/>
      <c r="E166" s="29"/>
      <c r="F166" s="44"/>
      <c r="G166" s="44"/>
      <c r="H166" s="44"/>
      <c r="I166" s="44"/>
      <c r="J166" s="44"/>
      <c r="K166" s="44"/>
      <c r="L166" s="45"/>
    </row>
    <row r="167" spans="1:12" ht="33.75" x14ac:dyDescent="0.25">
      <c r="A167" s="28" t="s">
        <v>111</v>
      </c>
      <c r="B167" s="29" t="s">
        <v>43</v>
      </c>
      <c r="C167" s="36" t="s">
        <v>19</v>
      </c>
      <c r="D167" s="30" t="s">
        <v>44</v>
      </c>
      <c r="E167" s="29" t="s">
        <v>27</v>
      </c>
      <c r="F167" s="44">
        <v>7</v>
      </c>
      <c r="G167" s="44">
        <v>674.36</v>
      </c>
      <c r="H167" s="44"/>
      <c r="I167" s="44"/>
      <c r="J167" s="44"/>
      <c r="K167" s="44"/>
      <c r="L167" s="45">
        <f>G167*F167</f>
        <v>4720.5200000000004</v>
      </c>
    </row>
    <row r="168" spans="1:12" x14ac:dyDescent="0.25">
      <c r="A168" s="56"/>
      <c r="B168" s="57"/>
      <c r="C168" s="57"/>
      <c r="D168" s="57"/>
      <c r="E168" s="57"/>
      <c r="F168" s="57"/>
      <c r="G168" s="57"/>
      <c r="H168" s="57"/>
      <c r="I168" s="57"/>
      <c r="J168" s="57"/>
      <c r="K168" s="57"/>
      <c r="L168" s="58"/>
    </row>
    <row r="169" spans="1:12" x14ac:dyDescent="0.25">
      <c r="A169" s="38" t="s">
        <v>389</v>
      </c>
      <c r="B169" s="52"/>
      <c r="C169" s="53"/>
      <c r="D169" s="41" t="s">
        <v>112</v>
      </c>
      <c r="E169" s="52"/>
      <c r="F169" s="42"/>
      <c r="G169" s="42"/>
      <c r="H169" s="42"/>
      <c r="I169" s="42"/>
      <c r="J169" s="42"/>
      <c r="K169" s="42"/>
      <c r="L169" s="43"/>
    </row>
    <row r="170" spans="1:12" ht="22.5" x14ac:dyDescent="0.25">
      <c r="A170" s="28" t="s">
        <v>390</v>
      </c>
      <c r="B170" s="29" t="s">
        <v>468</v>
      </c>
      <c r="C170" s="36" t="s">
        <v>464</v>
      </c>
      <c r="D170" s="30" t="s">
        <v>469</v>
      </c>
      <c r="E170" s="29" t="s">
        <v>27</v>
      </c>
      <c r="F170" s="44">
        <v>6</v>
      </c>
      <c r="G170" s="44">
        <f>(3*20)+16.31</f>
        <v>76.31</v>
      </c>
      <c r="H170" s="44"/>
      <c r="I170" s="44"/>
      <c r="J170" s="44"/>
      <c r="K170" s="44"/>
      <c r="L170" s="45">
        <f>G170*F170</f>
        <v>457.86</v>
      </c>
    </row>
    <row r="171" spans="1:12" x14ac:dyDescent="0.25">
      <c r="A171" s="28"/>
      <c r="B171" s="29"/>
      <c r="C171" s="36"/>
      <c r="D171" s="30"/>
      <c r="E171" s="29"/>
      <c r="F171" s="44"/>
      <c r="G171" s="44"/>
      <c r="H171" s="44"/>
      <c r="I171" s="44"/>
      <c r="J171" s="44"/>
      <c r="K171" s="44"/>
      <c r="L171" s="45"/>
    </row>
    <row r="172" spans="1:12" ht="56.25" x14ac:dyDescent="0.25">
      <c r="A172" s="28" t="s">
        <v>391</v>
      </c>
      <c r="B172" s="29" t="s">
        <v>37</v>
      </c>
      <c r="C172" s="36" t="s">
        <v>369</v>
      </c>
      <c r="D172" s="30" t="s">
        <v>38</v>
      </c>
      <c r="E172" s="29" t="s">
        <v>33</v>
      </c>
      <c r="F172" s="44"/>
      <c r="G172" s="44">
        <v>76.31</v>
      </c>
      <c r="H172" s="44"/>
      <c r="I172" s="44">
        <v>2</v>
      </c>
      <c r="J172" s="44"/>
      <c r="K172" s="44"/>
      <c r="L172" s="45">
        <f>G172*I172</f>
        <v>152.62</v>
      </c>
    </row>
    <row r="173" spans="1:12" x14ac:dyDescent="0.25">
      <c r="A173" s="28"/>
      <c r="B173" s="29"/>
      <c r="C173" s="36"/>
      <c r="D173" s="30"/>
      <c r="E173" s="29"/>
      <c r="F173" s="44"/>
      <c r="G173" s="44"/>
      <c r="H173" s="44"/>
      <c r="I173" s="44"/>
      <c r="J173" s="44"/>
      <c r="K173" s="44"/>
      <c r="L173" s="54"/>
    </row>
    <row r="174" spans="1:12" ht="33.75" x14ac:dyDescent="0.25">
      <c r="A174" s="28" t="s">
        <v>392</v>
      </c>
      <c r="B174" s="29" t="s">
        <v>40</v>
      </c>
      <c r="C174" s="36" t="s">
        <v>465</v>
      </c>
      <c r="D174" s="30" t="s">
        <v>41</v>
      </c>
      <c r="E174" s="29" t="s">
        <v>33</v>
      </c>
      <c r="F174" s="44"/>
      <c r="G174" s="44">
        <v>76.31</v>
      </c>
      <c r="H174" s="44"/>
      <c r="I174" s="44">
        <v>2</v>
      </c>
      <c r="J174" s="44"/>
      <c r="K174" s="44"/>
      <c r="L174" s="45">
        <f>G174*I174</f>
        <v>152.62</v>
      </c>
    </row>
    <row r="175" spans="1:12" x14ac:dyDescent="0.25">
      <c r="A175" s="28"/>
      <c r="B175" s="29"/>
      <c r="C175" s="36"/>
      <c r="D175" s="30"/>
      <c r="E175" s="29"/>
      <c r="F175" s="44"/>
      <c r="G175" s="44"/>
      <c r="H175" s="44"/>
      <c r="I175" s="44"/>
      <c r="J175" s="44"/>
      <c r="K175" s="44"/>
      <c r="L175" s="45"/>
    </row>
    <row r="176" spans="1:12" ht="33.75" x14ac:dyDescent="0.25">
      <c r="A176" s="28" t="s">
        <v>393</v>
      </c>
      <c r="B176" s="29" t="s">
        <v>43</v>
      </c>
      <c r="C176" s="36" t="s">
        <v>19</v>
      </c>
      <c r="D176" s="30" t="s">
        <v>44</v>
      </c>
      <c r="E176" s="29" t="s">
        <v>27</v>
      </c>
      <c r="F176" s="44">
        <v>6</v>
      </c>
      <c r="G176" s="44">
        <v>76.31</v>
      </c>
      <c r="H176" s="44"/>
      <c r="I176" s="44"/>
      <c r="J176" s="44"/>
      <c r="K176" s="44"/>
      <c r="L176" s="45">
        <f>G176*F176</f>
        <v>457.86</v>
      </c>
    </row>
    <row r="177" spans="1:12" x14ac:dyDescent="0.25">
      <c r="A177" s="28"/>
      <c r="B177" s="29"/>
      <c r="C177" s="36"/>
      <c r="D177" s="30"/>
      <c r="E177" s="29"/>
      <c r="F177" s="44"/>
      <c r="G177" s="44"/>
      <c r="H177" s="44"/>
      <c r="I177" s="44"/>
      <c r="J177" s="44"/>
      <c r="K177" s="44"/>
      <c r="L177" s="45"/>
    </row>
    <row r="178" spans="1:12" ht="22.5" x14ac:dyDescent="0.25">
      <c r="A178" s="38" t="s">
        <v>394</v>
      </c>
      <c r="B178" s="52"/>
      <c r="C178" s="53"/>
      <c r="D178" s="41" t="s">
        <v>399</v>
      </c>
      <c r="E178" s="52"/>
      <c r="F178" s="42"/>
      <c r="G178" s="42"/>
      <c r="H178" s="42"/>
      <c r="I178" s="42"/>
      <c r="J178" s="42"/>
      <c r="K178" s="42"/>
      <c r="L178" s="43"/>
    </row>
    <row r="179" spans="1:12" ht="22.5" x14ac:dyDescent="0.25">
      <c r="A179" s="28" t="s">
        <v>395</v>
      </c>
      <c r="B179" s="29" t="s">
        <v>468</v>
      </c>
      <c r="C179" s="36" t="s">
        <v>464</v>
      </c>
      <c r="D179" s="30" t="s">
        <v>469</v>
      </c>
      <c r="E179" s="29" t="s">
        <v>27</v>
      </c>
      <c r="F179" s="44">
        <v>7</v>
      </c>
      <c r="G179" s="44">
        <f>(4*20)+12.52</f>
        <v>92.52</v>
      </c>
      <c r="H179" s="44"/>
      <c r="I179" s="44"/>
      <c r="J179" s="44"/>
      <c r="K179" s="44"/>
      <c r="L179" s="45">
        <f>G179*F179</f>
        <v>647.64</v>
      </c>
    </row>
    <row r="180" spans="1:12" x14ac:dyDescent="0.25">
      <c r="A180" s="28"/>
      <c r="B180" s="29"/>
      <c r="C180" s="36"/>
      <c r="D180" s="30"/>
      <c r="E180" s="29"/>
      <c r="F180" s="44"/>
      <c r="G180" s="44"/>
      <c r="H180" s="44"/>
      <c r="I180" s="44"/>
      <c r="J180" s="44"/>
      <c r="K180" s="44"/>
      <c r="L180" s="45"/>
    </row>
    <row r="181" spans="1:12" ht="56.25" x14ac:dyDescent="0.25">
      <c r="A181" s="28" t="s">
        <v>396</v>
      </c>
      <c r="B181" s="29" t="s">
        <v>37</v>
      </c>
      <c r="C181" s="36" t="s">
        <v>369</v>
      </c>
      <c r="D181" s="30" t="s">
        <v>38</v>
      </c>
      <c r="E181" s="29" t="s">
        <v>33</v>
      </c>
      <c r="F181" s="44"/>
      <c r="G181" s="44">
        <v>92.52</v>
      </c>
      <c r="H181" s="44"/>
      <c r="I181" s="44">
        <v>2</v>
      </c>
      <c r="J181" s="44"/>
      <c r="K181" s="44"/>
      <c r="L181" s="45">
        <f>G181*I181</f>
        <v>185.04</v>
      </c>
    </row>
    <row r="182" spans="1:12" x14ac:dyDescent="0.25">
      <c r="A182" s="28"/>
      <c r="B182" s="29"/>
      <c r="C182" s="36"/>
      <c r="D182" s="30"/>
      <c r="E182" s="29"/>
      <c r="F182" s="44"/>
      <c r="G182" s="44"/>
      <c r="H182" s="44"/>
      <c r="I182" s="44"/>
      <c r="J182" s="44"/>
      <c r="K182" s="44"/>
      <c r="L182" s="54"/>
    </row>
    <row r="183" spans="1:12" ht="33.75" x14ac:dyDescent="0.25">
      <c r="A183" s="28" t="s">
        <v>397</v>
      </c>
      <c r="B183" s="29" t="s">
        <v>40</v>
      </c>
      <c r="C183" s="36" t="s">
        <v>465</v>
      </c>
      <c r="D183" s="30" t="s">
        <v>41</v>
      </c>
      <c r="E183" s="29" t="s">
        <v>33</v>
      </c>
      <c r="F183" s="44"/>
      <c r="G183" s="44">
        <v>92.52</v>
      </c>
      <c r="H183" s="44"/>
      <c r="I183" s="44">
        <v>2</v>
      </c>
      <c r="J183" s="44"/>
      <c r="K183" s="44"/>
      <c r="L183" s="45">
        <f>G183*I183</f>
        <v>185.04</v>
      </c>
    </row>
    <row r="184" spans="1:12" x14ac:dyDescent="0.25">
      <c r="A184" s="28"/>
      <c r="B184" s="29"/>
      <c r="C184" s="36"/>
      <c r="D184" s="30"/>
      <c r="E184" s="29"/>
      <c r="F184" s="44"/>
      <c r="G184" s="44"/>
      <c r="H184" s="44"/>
      <c r="I184" s="44"/>
      <c r="J184" s="44"/>
      <c r="K184" s="44"/>
      <c r="L184" s="45"/>
    </row>
    <row r="185" spans="1:12" ht="33.75" x14ac:dyDescent="0.25">
      <c r="A185" s="28" t="s">
        <v>398</v>
      </c>
      <c r="B185" s="29" t="s">
        <v>43</v>
      </c>
      <c r="C185" s="36" t="s">
        <v>19</v>
      </c>
      <c r="D185" s="30" t="s">
        <v>44</v>
      </c>
      <c r="E185" s="29" t="s">
        <v>27</v>
      </c>
      <c r="F185" s="44">
        <v>7</v>
      </c>
      <c r="G185" s="44">
        <v>92.52</v>
      </c>
      <c r="H185" s="44"/>
      <c r="I185" s="44"/>
      <c r="J185" s="44"/>
      <c r="K185" s="44"/>
      <c r="L185" s="45">
        <f>G185*F185</f>
        <v>647.64</v>
      </c>
    </row>
    <row r="186" spans="1:12" x14ac:dyDescent="0.25">
      <c r="A186" s="56"/>
      <c r="B186" s="57"/>
      <c r="C186" s="57"/>
      <c r="D186" s="57"/>
      <c r="E186" s="57"/>
      <c r="F186" s="57"/>
      <c r="G186" s="57"/>
      <c r="H186" s="57"/>
      <c r="I186" s="57"/>
      <c r="J186" s="57"/>
      <c r="K186" s="57"/>
      <c r="L186" s="58"/>
    </row>
    <row r="187" spans="1:12" ht="33.75" x14ac:dyDescent="0.25">
      <c r="A187" s="46" t="s">
        <v>113</v>
      </c>
      <c r="B187" s="47"/>
      <c r="C187" s="48"/>
      <c r="D187" s="49" t="s">
        <v>114</v>
      </c>
      <c r="E187" s="47"/>
      <c r="F187" s="50"/>
      <c r="G187" s="50"/>
      <c r="H187" s="50"/>
      <c r="I187" s="50"/>
      <c r="J187" s="50"/>
      <c r="K187" s="50"/>
      <c r="L187" s="51"/>
    </row>
    <row r="188" spans="1:12" ht="22.5" x14ac:dyDescent="0.25">
      <c r="A188" s="38" t="s">
        <v>116</v>
      </c>
      <c r="B188" s="52"/>
      <c r="C188" s="53"/>
      <c r="D188" s="41" t="s">
        <v>115</v>
      </c>
      <c r="E188" s="52"/>
      <c r="F188" s="42"/>
      <c r="G188" s="42"/>
      <c r="H188" s="42"/>
      <c r="I188" s="42"/>
      <c r="J188" s="42"/>
      <c r="K188" s="42"/>
      <c r="L188" s="43"/>
    </row>
    <row r="189" spans="1:12" ht="22.5" x14ac:dyDescent="0.25">
      <c r="A189" s="28" t="s">
        <v>117</v>
      </c>
      <c r="B189" s="29" t="s">
        <v>468</v>
      </c>
      <c r="C189" s="36" t="s">
        <v>464</v>
      </c>
      <c r="D189" s="30" t="s">
        <v>469</v>
      </c>
      <c r="E189" s="29" t="s">
        <v>27</v>
      </c>
      <c r="F189" s="44">
        <v>6</v>
      </c>
      <c r="G189" s="44">
        <f>(4*20)+2.23</f>
        <v>82.23</v>
      </c>
      <c r="H189" s="44"/>
      <c r="I189" s="44"/>
      <c r="J189" s="44"/>
      <c r="K189" s="44"/>
      <c r="L189" s="45">
        <f>G189*F189</f>
        <v>493.38</v>
      </c>
    </row>
    <row r="190" spans="1:12" x14ac:dyDescent="0.25">
      <c r="A190" s="28"/>
      <c r="B190" s="29"/>
      <c r="C190" s="36"/>
      <c r="D190" s="30"/>
      <c r="E190" s="29"/>
      <c r="F190" s="44"/>
      <c r="G190" s="44"/>
      <c r="H190" s="44"/>
      <c r="I190" s="44"/>
      <c r="J190" s="44"/>
      <c r="K190" s="44"/>
      <c r="L190" s="45"/>
    </row>
    <row r="191" spans="1:12" ht="56.25" x14ac:dyDescent="0.25">
      <c r="A191" s="28" t="s">
        <v>118</v>
      </c>
      <c r="B191" s="29" t="s">
        <v>37</v>
      </c>
      <c r="C191" s="36" t="s">
        <v>369</v>
      </c>
      <c r="D191" s="30" t="s">
        <v>38</v>
      </c>
      <c r="E191" s="29" t="s">
        <v>33</v>
      </c>
      <c r="F191" s="44"/>
      <c r="G191" s="44">
        <v>82.23</v>
      </c>
      <c r="H191" s="44"/>
      <c r="I191" s="44">
        <v>2</v>
      </c>
      <c r="J191" s="44"/>
      <c r="K191" s="44"/>
      <c r="L191" s="45">
        <f>G191*I191</f>
        <v>164.46</v>
      </c>
    </row>
    <row r="192" spans="1:12" x14ac:dyDescent="0.25">
      <c r="A192" s="28"/>
      <c r="B192" s="29"/>
      <c r="C192" s="36"/>
      <c r="D192" s="30"/>
      <c r="E192" s="29"/>
      <c r="F192" s="44"/>
      <c r="G192" s="44"/>
      <c r="H192" s="44"/>
      <c r="I192" s="44"/>
      <c r="J192" s="44"/>
      <c r="K192" s="44"/>
      <c r="L192" s="54"/>
    </row>
    <row r="193" spans="1:12" ht="33.75" x14ac:dyDescent="0.25">
      <c r="A193" s="28" t="s">
        <v>119</v>
      </c>
      <c r="B193" s="29" t="s">
        <v>40</v>
      </c>
      <c r="C193" s="36" t="s">
        <v>465</v>
      </c>
      <c r="D193" s="30" t="s">
        <v>41</v>
      </c>
      <c r="E193" s="29" t="s">
        <v>33</v>
      </c>
      <c r="F193" s="44"/>
      <c r="G193" s="44">
        <v>82.23</v>
      </c>
      <c r="H193" s="44"/>
      <c r="I193" s="44">
        <v>2</v>
      </c>
      <c r="J193" s="44"/>
      <c r="K193" s="44"/>
      <c r="L193" s="45">
        <f>G193*I193</f>
        <v>164.46</v>
      </c>
    </row>
    <row r="194" spans="1:12" x14ac:dyDescent="0.25">
      <c r="A194" s="28"/>
      <c r="B194" s="29"/>
      <c r="C194" s="36"/>
      <c r="D194" s="30"/>
      <c r="E194" s="29"/>
      <c r="F194" s="44"/>
      <c r="G194" s="44"/>
      <c r="H194" s="44"/>
      <c r="I194" s="44"/>
      <c r="J194" s="44"/>
      <c r="K194" s="44"/>
      <c r="L194" s="45"/>
    </row>
    <row r="195" spans="1:12" ht="33.75" x14ac:dyDescent="0.25">
      <c r="A195" s="28" t="s">
        <v>120</v>
      </c>
      <c r="B195" s="29" t="s">
        <v>43</v>
      </c>
      <c r="C195" s="36" t="s">
        <v>19</v>
      </c>
      <c r="D195" s="30" t="s">
        <v>44</v>
      </c>
      <c r="E195" s="29" t="s">
        <v>27</v>
      </c>
      <c r="F195" s="44">
        <v>6</v>
      </c>
      <c r="G195" s="44">
        <v>82.23</v>
      </c>
      <c r="H195" s="44"/>
      <c r="I195" s="44"/>
      <c r="J195" s="44"/>
      <c r="K195" s="44"/>
      <c r="L195" s="45">
        <f>G195*F195</f>
        <v>493.38</v>
      </c>
    </row>
    <row r="196" spans="1:12" x14ac:dyDescent="0.25">
      <c r="A196" s="56"/>
      <c r="B196" s="57"/>
      <c r="C196" s="57"/>
      <c r="D196" s="57"/>
      <c r="E196" s="57"/>
      <c r="F196" s="57"/>
      <c r="G196" s="57"/>
      <c r="H196" s="57"/>
      <c r="I196" s="57"/>
      <c r="J196" s="57"/>
      <c r="K196" s="57"/>
      <c r="L196" s="58"/>
    </row>
    <row r="197" spans="1:12" ht="22.5" x14ac:dyDescent="0.25">
      <c r="A197" s="38" t="s">
        <v>121</v>
      </c>
      <c r="B197" s="52"/>
      <c r="C197" s="53"/>
      <c r="D197" s="41" t="s">
        <v>126</v>
      </c>
      <c r="E197" s="52"/>
      <c r="F197" s="42"/>
      <c r="G197" s="42"/>
      <c r="H197" s="42"/>
      <c r="I197" s="42"/>
      <c r="J197" s="42"/>
      <c r="K197" s="42"/>
      <c r="L197" s="43"/>
    </row>
    <row r="198" spans="1:12" ht="22.5" x14ac:dyDescent="0.25">
      <c r="A198" s="28" t="s">
        <v>122</v>
      </c>
      <c r="B198" s="29" t="s">
        <v>468</v>
      </c>
      <c r="C198" s="36" t="s">
        <v>464</v>
      </c>
      <c r="D198" s="30" t="s">
        <v>469</v>
      </c>
      <c r="E198" s="29" t="s">
        <v>27</v>
      </c>
      <c r="F198" s="44">
        <v>6</v>
      </c>
      <c r="G198" s="44">
        <f>(3*20)+17.84</f>
        <v>77.84</v>
      </c>
      <c r="H198" s="44"/>
      <c r="I198" s="44"/>
      <c r="J198" s="44"/>
      <c r="K198" s="44"/>
      <c r="L198" s="45">
        <f>G198*F198</f>
        <v>467.04</v>
      </c>
    </row>
    <row r="199" spans="1:12" x14ac:dyDescent="0.25">
      <c r="A199" s="28"/>
      <c r="B199" s="29"/>
      <c r="C199" s="36"/>
      <c r="D199" s="30"/>
      <c r="E199" s="29"/>
      <c r="F199" s="44"/>
      <c r="G199" s="44"/>
      <c r="H199" s="44"/>
      <c r="I199" s="44"/>
      <c r="J199" s="44"/>
      <c r="K199" s="44"/>
      <c r="L199" s="45"/>
    </row>
    <row r="200" spans="1:12" ht="56.25" x14ac:dyDescent="0.25">
      <c r="A200" s="28" t="s">
        <v>123</v>
      </c>
      <c r="B200" s="29" t="s">
        <v>37</v>
      </c>
      <c r="C200" s="36" t="s">
        <v>369</v>
      </c>
      <c r="D200" s="30" t="s">
        <v>38</v>
      </c>
      <c r="E200" s="29" t="s">
        <v>33</v>
      </c>
      <c r="F200" s="44"/>
      <c r="G200" s="44">
        <v>77.84</v>
      </c>
      <c r="H200" s="44"/>
      <c r="I200" s="44">
        <v>2</v>
      </c>
      <c r="J200" s="44"/>
      <c r="K200" s="44"/>
      <c r="L200" s="45">
        <f>G200*I200</f>
        <v>155.68</v>
      </c>
    </row>
    <row r="201" spans="1:12" x14ac:dyDescent="0.25">
      <c r="A201" s="28"/>
      <c r="B201" s="29"/>
      <c r="C201" s="36"/>
      <c r="D201" s="30"/>
      <c r="E201" s="29"/>
      <c r="F201" s="44"/>
      <c r="G201" s="44"/>
      <c r="H201" s="44"/>
      <c r="I201" s="44"/>
      <c r="J201" s="44"/>
      <c r="K201" s="44"/>
      <c r="L201" s="54"/>
    </row>
    <row r="202" spans="1:12" ht="33.75" x14ac:dyDescent="0.25">
      <c r="A202" s="28" t="s">
        <v>124</v>
      </c>
      <c r="B202" s="29" t="s">
        <v>40</v>
      </c>
      <c r="C202" s="36" t="s">
        <v>465</v>
      </c>
      <c r="D202" s="30" t="s">
        <v>41</v>
      </c>
      <c r="E202" s="29" t="s">
        <v>33</v>
      </c>
      <c r="F202" s="44"/>
      <c r="G202" s="44">
        <v>77.84</v>
      </c>
      <c r="H202" s="44"/>
      <c r="I202" s="44">
        <v>2</v>
      </c>
      <c r="J202" s="44"/>
      <c r="K202" s="44"/>
      <c r="L202" s="45">
        <f>G202*I202</f>
        <v>155.68</v>
      </c>
    </row>
    <row r="203" spans="1:12" x14ac:dyDescent="0.25">
      <c r="A203" s="28"/>
      <c r="B203" s="29"/>
      <c r="C203" s="36"/>
      <c r="D203" s="30"/>
      <c r="E203" s="29"/>
      <c r="F203" s="44"/>
      <c r="G203" s="44"/>
      <c r="H203" s="44"/>
      <c r="I203" s="44"/>
      <c r="J203" s="44"/>
      <c r="K203" s="44"/>
      <c r="L203" s="45"/>
    </row>
    <row r="204" spans="1:12" ht="33.75" x14ac:dyDescent="0.25">
      <c r="A204" s="28" t="s">
        <v>125</v>
      </c>
      <c r="B204" s="29" t="s">
        <v>43</v>
      </c>
      <c r="C204" s="36" t="s">
        <v>19</v>
      </c>
      <c r="D204" s="30" t="s">
        <v>44</v>
      </c>
      <c r="E204" s="29" t="s">
        <v>27</v>
      </c>
      <c r="F204" s="44">
        <v>6</v>
      </c>
      <c r="G204" s="44">
        <v>77.84</v>
      </c>
      <c r="H204" s="44"/>
      <c r="I204" s="44"/>
      <c r="J204" s="44"/>
      <c r="K204" s="44"/>
      <c r="L204" s="45">
        <f>G204*F204</f>
        <v>467.04</v>
      </c>
    </row>
    <row r="205" spans="1:12" x14ac:dyDescent="0.25">
      <c r="A205" s="56"/>
      <c r="B205" s="57"/>
      <c r="C205" s="57"/>
      <c r="D205" s="57"/>
      <c r="E205" s="57"/>
      <c r="F205" s="57"/>
      <c r="G205" s="57"/>
      <c r="H205" s="57"/>
      <c r="I205" s="57"/>
      <c r="J205" s="57"/>
      <c r="K205" s="57"/>
      <c r="L205" s="58"/>
    </row>
    <row r="206" spans="1:12" ht="22.5" x14ac:dyDescent="0.25">
      <c r="A206" s="38" t="s">
        <v>127</v>
      </c>
      <c r="B206" s="52"/>
      <c r="C206" s="53"/>
      <c r="D206" s="41" t="s">
        <v>132</v>
      </c>
      <c r="E206" s="52"/>
      <c r="F206" s="42"/>
      <c r="G206" s="42"/>
      <c r="H206" s="42"/>
      <c r="I206" s="42"/>
      <c r="J206" s="42"/>
      <c r="K206" s="42"/>
      <c r="L206" s="43"/>
    </row>
    <row r="207" spans="1:12" ht="22.5" x14ac:dyDescent="0.25">
      <c r="A207" s="28" t="s">
        <v>128</v>
      </c>
      <c r="B207" s="29" t="s">
        <v>468</v>
      </c>
      <c r="C207" s="36" t="s">
        <v>464</v>
      </c>
      <c r="D207" s="30" t="s">
        <v>469</v>
      </c>
      <c r="E207" s="29" t="s">
        <v>27</v>
      </c>
      <c r="F207" s="44">
        <v>6</v>
      </c>
      <c r="G207" s="44">
        <f>(3*20)+11.69</f>
        <v>71.69</v>
      </c>
      <c r="H207" s="44"/>
      <c r="I207" s="44"/>
      <c r="J207" s="44"/>
      <c r="K207" s="44"/>
      <c r="L207" s="45">
        <f>G207*F207</f>
        <v>430.14</v>
      </c>
    </row>
    <row r="208" spans="1:12" x14ac:dyDescent="0.25">
      <c r="A208" s="28"/>
      <c r="B208" s="29"/>
      <c r="C208" s="36"/>
      <c r="D208" s="30"/>
      <c r="E208" s="29"/>
      <c r="F208" s="44"/>
      <c r="G208" s="44"/>
      <c r="H208" s="44"/>
      <c r="I208" s="44"/>
      <c r="J208" s="44"/>
      <c r="K208" s="44"/>
      <c r="L208" s="45"/>
    </row>
    <row r="209" spans="1:12" ht="56.25" x14ac:dyDescent="0.25">
      <c r="A209" s="28" t="s">
        <v>129</v>
      </c>
      <c r="B209" s="29" t="s">
        <v>37</v>
      </c>
      <c r="C209" s="36" t="s">
        <v>369</v>
      </c>
      <c r="D209" s="30" t="s">
        <v>38</v>
      </c>
      <c r="E209" s="29" t="s">
        <v>33</v>
      </c>
      <c r="F209" s="44"/>
      <c r="G209" s="44">
        <v>71.69</v>
      </c>
      <c r="H209" s="44"/>
      <c r="I209" s="44">
        <v>2</v>
      </c>
      <c r="J209" s="44"/>
      <c r="K209" s="44"/>
      <c r="L209" s="45">
        <f>G209*I209</f>
        <v>143.38</v>
      </c>
    </row>
    <row r="210" spans="1:12" x14ac:dyDescent="0.25">
      <c r="A210" s="28"/>
      <c r="B210" s="29"/>
      <c r="C210" s="36"/>
      <c r="D210" s="30"/>
      <c r="E210" s="29"/>
      <c r="F210" s="44"/>
      <c r="G210" s="44"/>
      <c r="H210" s="44"/>
      <c r="I210" s="44"/>
      <c r="J210" s="44"/>
      <c r="K210" s="44"/>
      <c r="L210" s="54"/>
    </row>
    <row r="211" spans="1:12" ht="33.75" x14ac:dyDescent="0.25">
      <c r="A211" s="28" t="s">
        <v>130</v>
      </c>
      <c r="B211" s="29" t="s">
        <v>40</v>
      </c>
      <c r="C211" s="36" t="s">
        <v>465</v>
      </c>
      <c r="D211" s="30" t="s">
        <v>41</v>
      </c>
      <c r="E211" s="29" t="s">
        <v>33</v>
      </c>
      <c r="F211" s="44"/>
      <c r="G211" s="44">
        <v>71.69</v>
      </c>
      <c r="H211" s="44"/>
      <c r="I211" s="44">
        <v>2</v>
      </c>
      <c r="J211" s="44"/>
      <c r="K211" s="44"/>
      <c r="L211" s="45">
        <f>G211*I211</f>
        <v>143.38</v>
      </c>
    </row>
    <row r="212" spans="1:12" x14ac:dyDescent="0.25">
      <c r="A212" s="28"/>
      <c r="B212" s="29"/>
      <c r="C212" s="36"/>
      <c r="D212" s="30"/>
      <c r="E212" s="29"/>
      <c r="F212" s="44"/>
      <c r="G212" s="44"/>
      <c r="H212" s="44"/>
      <c r="I212" s="44"/>
      <c r="J212" s="44"/>
      <c r="K212" s="44"/>
      <c r="L212" s="45"/>
    </row>
    <row r="213" spans="1:12" ht="33.75" x14ac:dyDescent="0.25">
      <c r="A213" s="28" t="s">
        <v>131</v>
      </c>
      <c r="B213" s="29" t="s">
        <v>43</v>
      </c>
      <c r="C213" s="36" t="s">
        <v>19</v>
      </c>
      <c r="D213" s="30" t="s">
        <v>44</v>
      </c>
      <c r="E213" s="29" t="s">
        <v>27</v>
      </c>
      <c r="F213" s="44">
        <v>6</v>
      </c>
      <c r="G213" s="44">
        <v>71.69</v>
      </c>
      <c r="H213" s="44"/>
      <c r="I213" s="44"/>
      <c r="J213" s="44"/>
      <c r="K213" s="44"/>
      <c r="L213" s="45">
        <f>G213*F213</f>
        <v>430.14</v>
      </c>
    </row>
    <row r="214" spans="1:12" x14ac:dyDescent="0.25">
      <c r="A214" s="56"/>
      <c r="B214" s="57"/>
      <c r="C214" s="57"/>
      <c r="D214" s="57"/>
      <c r="E214" s="57"/>
      <c r="F214" s="57"/>
      <c r="G214" s="57"/>
      <c r="H214" s="57"/>
      <c r="I214" s="57"/>
      <c r="J214" s="57"/>
      <c r="K214" s="57"/>
      <c r="L214" s="58"/>
    </row>
    <row r="215" spans="1:12" x14ac:dyDescent="0.25">
      <c r="A215" s="38" t="s">
        <v>133</v>
      </c>
      <c r="B215" s="52"/>
      <c r="C215" s="53"/>
      <c r="D215" s="41" t="s">
        <v>138</v>
      </c>
      <c r="E215" s="52"/>
      <c r="F215" s="42"/>
      <c r="G215" s="42"/>
      <c r="H215" s="42"/>
      <c r="I215" s="42"/>
      <c r="J215" s="42"/>
      <c r="K215" s="42"/>
      <c r="L215" s="43"/>
    </row>
    <row r="216" spans="1:12" ht="22.5" x14ac:dyDescent="0.25">
      <c r="A216" s="28" t="s">
        <v>134</v>
      </c>
      <c r="B216" s="29" t="s">
        <v>468</v>
      </c>
      <c r="C216" s="36" t="s">
        <v>464</v>
      </c>
      <c r="D216" s="30" t="s">
        <v>469</v>
      </c>
      <c r="E216" s="29" t="s">
        <v>27</v>
      </c>
      <c r="F216" s="44">
        <v>6</v>
      </c>
      <c r="G216" s="44">
        <f>(2*20)+19.74</f>
        <v>59.739999999999995</v>
      </c>
      <c r="H216" s="44"/>
      <c r="I216" s="44"/>
      <c r="J216" s="44"/>
      <c r="K216" s="44"/>
      <c r="L216" s="45">
        <f>G216*F216</f>
        <v>358.43999999999994</v>
      </c>
    </row>
    <row r="217" spans="1:12" x14ac:dyDescent="0.25">
      <c r="A217" s="28"/>
      <c r="B217" s="29"/>
      <c r="C217" s="36"/>
      <c r="D217" s="30"/>
      <c r="E217" s="29"/>
      <c r="F217" s="44"/>
      <c r="G217" s="44"/>
      <c r="H217" s="44"/>
      <c r="I217" s="44"/>
      <c r="J217" s="44"/>
      <c r="K217" s="44"/>
      <c r="L217" s="45"/>
    </row>
    <row r="218" spans="1:12" ht="56.25" x14ac:dyDescent="0.25">
      <c r="A218" s="28" t="s">
        <v>135</v>
      </c>
      <c r="B218" s="29" t="s">
        <v>37</v>
      </c>
      <c r="C218" s="36" t="s">
        <v>369</v>
      </c>
      <c r="D218" s="30" t="s">
        <v>38</v>
      </c>
      <c r="E218" s="29" t="s">
        <v>33</v>
      </c>
      <c r="F218" s="44"/>
      <c r="G218" s="44">
        <v>59.74</v>
      </c>
      <c r="H218" s="44"/>
      <c r="I218" s="44">
        <v>2</v>
      </c>
      <c r="J218" s="44"/>
      <c r="K218" s="44"/>
      <c r="L218" s="45">
        <f>G218*I218</f>
        <v>119.48</v>
      </c>
    </row>
    <row r="219" spans="1:12" x14ac:dyDescent="0.25">
      <c r="A219" s="28"/>
      <c r="B219" s="29"/>
      <c r="C219" s="36"/>
      <c r="D219" s="30"/>
      <c r="E219" s="29"/>
      <c r="F219" s="44"/>
      <c r="G219" s="44"/>
      <c r="H219" s="44"/>
      <c r="I219" s="44"/>
      <c r="J219" s="44"/>
      <c r="K219" s="44"/>
      <c r="L219" s="54"/>
    </row>
    <row r="220" spans="1:12" ht="33.75" x14ac:dyDescent="0.25">
      <c r="A220" s="28" t="s">
        <v>136</v>
      </c>
      <c r="B220" s="29" t="s">
        <v>40</v>
      </c>
      <c r="C220" s="36" t="s">
        <v>465</v>
      </c>
      <c r="D220" s="30" t="s">
        <v>41</v>
      </c>
      <c r="E220" s="29" t="s">
        <v>33</v>
      </c>
      <c r="F220" s="44"/>
      <c r="G220" s="44">
        <v>59.74</v>
      </c>
      <c r="H220" s="44"/>
      <c r="I220" s="44">
        <v>2</v>
      </c>
      <c r="J220" s="44"/>
      <c r="K220" s="44"/>
      <c r="L220" s="45">
        <f>G220*I220</f>
        <v>119.48</v>
      </c>
    </row>
    <row r="221" spans="1:12" x14ac:dyDescent="0.25">
      <c r="A221" s="28"/>
      <c r="B221" s="29"/>
      <c r="C221" s="36"/>
      <c r="D221" s="30"/>
      <c r="E221" s="29"/>
      <c r="F221" s="44"/>
      <c r="G221" s="44"/>
      <c r="H221" s="44"/>
      <c r="I221" s="44"/>
      <c r="J221" s="44"/>
      <c r="K221" s="44"/>
      <c r="L221" s="45"/>
    </row>
    <row r="222" spans="1:12" ht="33.75" x14ac:dyDescent="0.25">
      <c r="A222" s="28" t="s">
        <v>137</v>
      </c>
      <c r="B222" s="29" t="s">
        <v>43</v>
      </c>
      <c r="C222" s="36" t="s">
        <v>19</v>
      </c>
      <c r="D222" s="30" t="s">
        <v>44</v>
      </c>
      <c r="E222" s="29" t="s">
        <v>27</v>
      </c>
      <c r="F222" s="44">
        <v>6</v>
      </c>
      <c r="G222" s="44">
        <v>59.74</v>
      </c>
      <c r="H222" s="44"/>
      <c r="I222" s="44"/>
      <c r="J222" s="44"/>
      <c r="K222" s="44"/>
      <c r="L222" s="45">
        <f>G222*F222</f>
        <v>358.44</v>
      </c>
    </row>
    <row r="223" spans="1:12" x14ac:dyDescent="0.25">
      <c r="A223" s="28"/>
      <c r="B223" s="29"/>
      <c r="C223" s="36"/>
      <c r="D223" s="30"/>
      <c r="E223" s="29"/>
      <c r="F223" s="44"/>
      <c r="G223" s="44"/>
      <c r="H223" s="44"/>
      <c r="I223" s="44"/>
      <c r="J223" s="44"/>
      <c r="K223" s="44"/>
      <c r="L223" s="45"/>
    </row>
    <row r="224" spans="1:12" x14ac:dyDescent="0.25">
      <c r="A224" s="38" t="s">
        <v>400</v>
      </c>
      <c r="B224" s="52"/>
      <c r="C224" s="53"/>
      <c r="D224" s="41" t="s">
        <v>411</v>
      </c>
      <c r="E224" s="52"/>
      <c r="F224" s="42"/>
      <c r="G224" s="42"/>
      <c r="H224" s="42"/>
      <c r="I224" s="42"/>
      <c r="J224" s="42"/>
      <c r="K224" s="42"/>
      <c r="L224" s="43"/>
    </row>
    <row r="225" spans="1:12" ht="22.5" x14ac:dyDescent="0.25">
      <c r="A225" s="28" t="s">
        <v>401</v>
      </c>
      <c r="B225" s="29" t="s">
        <v>468</v>
      </c>
      <c r="C225" s="36" t="s">
        <v>464</v>
      </c>
      <c r="D225" s="30" t="s">
        <v>469</v>
      </c>
      <c r="E225" s="29" t="s">
        <v>27</v>
      </c>
      <c r="F225" s="44">
        <v>6</v>
      </c>
      <c r="G225" s="44">
        <f>(3*20)+4.2</f>
        <v>64.2</v>
      </c>
      <c r="H225" s="44"/>
      <c r="I225" s="44"/>
      <c r="J225" s="44"/>
      <c r="K225" s="44"/>
      <c r="L225" s="45">
        <f>G225*F225</f>
        <v>385.20000000000005</v>
      </c>
    </row>
    <row r="226" spans="1:12" x14ac:dyDescent="0.25">
      <c r="A226" s="28"/>
      <c r="B226" s="29"/>
      <c r="C226" s="36"/>
      <c r="D226" s="30"/>
      <c r="E226" s="29"/>
      <c r="F226" s="44"/>
      <c r="G226" s="44"/>
      <c r="H226" s="44"/>
      <c r="I226" s="44"/>
      <c r="J226" s="44"/>
      <c r="K226" s="44"/>
      <c r="L226" s="45"/>
    </row>
    <row r="227" spans="1:12" ht="56.25" x14ac:dyDescent="0.25">
      <c r="A227" s="28" t="s">
        <v>402</v>
      </c>
      <c r="B227" s="29" t="s">
        <v>37</v>
      </c>
      <c r="C227" s="36" t="s">
        <v>369</v>
      </c>
      <c r="D227" s="30" t="s">
        <v>38</v>
      </c>
      <c r="E227" s="29" t="s">
        <v>33</v>
      </c>
      <c r="F227" s="44"/>
      <c r="G227" s="44">
        <v>64.2</v>
      </c>
      <c r="H227" s="44"/>
      <c r="I227" s="44">
        <v>2</v>
      </c>
      <c r="J227" s="44"/>
      <c r="K227" s="44"/>
      <c r="L227" s="45">
        <f>G227*I227</f>
        <v>128.4</v>
      </c>
    </row>
    <row r="228" spans="1:12" x14ac:dyDescent="0.25">
      <c r="A228" s="28"/>
      <c r="B228" s="29"/>
      <c r="C228" s="36"/>
      <c r="D228" s="30"/>
      <c r="E228" s="29"/>
      <c r="F228" s="44"/>
      <c r="G228" s="44"/>
      <c r="H228" s="44"/>
      <c r="I228" s="44"/>
      <c r="J228" s="44"/>
      <c r="K228" s="44"/>
      <c r="L228" s="54"/>
    </row>
    <row r="229" spans="1:12" ht="33.75" x14ac:dyDescent="0.25">
      <c r="A229" s="28" t="s">
        <v>403</v>
      </c>
      <c r="B229" s="29" t="s">
        <v>40</v>
      </c>
      <c r="C229" s="36" t="s">
        <v>465</v>
      </c>
      <c r="D229" s="30" t="s">
        <v>41</v>
      </c>
      <c r="E229" s="29" t="s">
        <v>33</v>
      </c>
      <c r="F229" s="44"/>
      <c r="G229" s="44">
        <v>64.2</v>
      </c>
      <c r="H229" s="44"/>
      <c r="I229" s="44">
        <v>2</v>
      </c>
      <c r="J229" s="44"/>
      <c r="K229" s="44"/>
      <c r="L229" s="45">
        <f>G229*I229</f>
        <v>128.4</v>
      </c>
    </row>
    <row r="230" spans="1:12" x14ac:dyDescent="0.25">
      <c r="A230" s="28"/>
      <c r="B230" s="29"/>
      <c r="C230" s="36"/>
      <c r="D230" s="30"/>
      <c r="E230" s="29"/>
      <c r="F230" s="44"/>
      <c r="G230" s="44"/>
      <c r="H230" s="44"/>
      <c r="I230" s="44"/>
      <c r="J230" s="44"/>
      <c r="K230" s="44"/>
      <c r="L230" s="45"/>
    </row>
    <row r="231" spans="1:12" ht="33.75" x14ac:dyDescent="0.25">
      <c r="A231" s="28" t="s">
        <v>404</v>
      </c>
      <c r="B231" s="29" t="s">
        <v>43</v>
      </c>
      <c r="C231" s="36" t="s">
        <v>19</v>
      </c>
      <c r="D231" s="30" t="s">
        <v>44</v>
      </c>
      <c r="E231" s="29" t="s">
        <v>27</v>
      </c>
      <c r="F231" s="44">
        <v>6</v>
      </c>
      <c r="G231" s="44">
        <v>64.2</v>
      </c>
      <c r="H231" s="44"/>
      <c r="I231" s="44"/>
      <c r="J231" s="44"/>
      <c r="K231" s="44"/>
      <c r="L231" s="45">
        <f>G231*F231</f>
        <v>385.20000000000005</v>
      </c>
    </row>
    <row r="232" spans="1:12" x14ac:dyDescent="0.25">
      <c r="A232" s="28"/>
      <c r="B232" s="29"/>
      <c r="C232" s="36"/>
      <c r="D232" s="30"/>
      <c r="E232" s="29"/>
      <c r="F232" s="44"/>
      <c r="G232" s="44"/>
      <c r="H232" s="44"/>
      <c r="I232" s="44"/>
      <c r="J232" s="44"/>
      <c r="K232" s="44"/>
      <c r="L232" s="45"/>
    </row>
    <row r="233" spans="1:12" x14ac:dyDescent="0.25">
      <c r="A233" s="38" t="s">
        <v>406</v>
      </c>
      <c r="B233" s="52"/>
      <c r="C233" s="53"/>
      <c r="D233" s="41" t="s">
        <v>405</v>
      </c>
      <c r="E233" s="52"/>
      <c r="F233" s="42"/>
      <c r="G233" s="42"/>
      <c r="H233" s="42"/>
      <c r="I233" s="42"/>
      <c r="J233" s="42"/>
      <c r="K233" s="42"/>
      <c r="L233" s="43"/>
    </row>
    <row r="234" spans="1:12" ht="22.5" x14ac:dyDescent="0.25">
      <c r="A234" s="28" t="s">
        <v>407</v>
      </c>
      <c r="B234" s="29" t="s">
        <v>468</v>
      </c>
      <c r="C234" s="36" t="s">
        <v>464</v>
      </c>
      <c r="D234" s="30" t="s">
        <v>469</v>
      </c>
      <c r="E234" s="29" t="s">
        <v>27</v>
      </c>
      <c r="F234" s="44">
        <v>6</v>
      </c>
      <c r="G234" s="44">
        <f>(8*20)+0</f>
        <v>160</v>
      </c>
      <c r="H234" s="44"/>
      <c r="I234" s="44"/>
      <c r="J234" s="44"/>
      <c r="K234" s="44"/>
      <c r="L234" s="45">
        <f>G234*F234</f>
        <v>960</v>
      </c>
    </row>
    <row r="235" spans="1:12" x14ac:dyDescent="0.25">
      <c r="A235" s="28"/>
      <c r="B235" s="29"/>
      <c r="C235" s="36"/>
      <c r="D235" s="30"/>
      <c r="E235" s="29"/>
      <c r="F235" s="44"/>
      <c r="G235" s="44"/>
      <c r="H235" s="44"/>
      <c r="I235" s="44"/>
      <c r="J235" s="44"/>
      <c r="K235" s="44"/>
      <c r="L235" s="45"/>
    </row>
    <row r="236" spans="1:12" ht="56.25" x14ac:dyDescent="0.25">
      <c r="A236" s="28" t="s">
        <v>408</v>
      </c>
      <c r="B236" s="29" t="s">
        <v>37</v>
      </c>
      <c r="C236" s="36" t="s">
        <v>369</v>
      </c>
      <c r="D236" s="30" t="s">
        <v>38</v>
      </c>
      <c r="E236" s="29" t="s">
        <v>33</v>
      </c>
      <c r="F236" s="44"/>
      <c r="G236" s="44">
        <v>160</v>
      </c>
      <c r="H236" s="44"/>
      <c r="I236" s="44">
        <v>2</v>
      </c>
      <c r="J236" s="44"/>
      <c r="K236" s="44"/>
      <c r="L236" s="45">
        <f>G236*I236</f>
        <v>320</v>
      </c>
    </row>
    <row r="237" spans="1:12" x14ac:dyDescent="0.25">
      <c r="A237" s="28"/>
      <c r="B237" s="29"/>
      <c r="C237" s="36"/>
      <c r="D237" s="30"/>
      <c r="E237" s="29"/>
      <c r="F237" s="44"/>
      <c r="G237" s="44"/>
      <c r="H237" s="44"/>
      <c r="I237" s="44"/>
      <c r="J237" s="44"/>
      <c r="K237" s="44"/>
      <c r="L237" s="54"/>
    </row>
    <row r="238" spans="1:12" ht="33.75" x14ac:dyDescent="0.25">
      <c r="A238" s="28" t="s">
        <v>409</v>
      </c>
      <c r="B238" s="29" t="s">
        <v>40</v>
      </c>
      <c r="C238" s="36" t="s">
        <v>465</v>
      </c>
      <c r="D238" s="30" t="s">
        <v>41</v>
      </c>
      <c r="E238" s="29" t="s">
        <v>33</v>
      </c>
      <c r="F238" s="44"/>
      <c r="G238" s="44">
        <v>160</v>
      </c>
      <c r="H238" s="44"/>
      <c r="I238" s="44">
        <v>2</v>
      </c>
      <c r="J238" s="44"/>
      <c r="K238" s="44"/>
      <c r="L238" s="45">
        <f>G238*I238</f>
        <v>320</v>
      </c>
    </row>
    <row r="239" spans="1:12" x14ac:dyDescent="0.25">
      <c r="A239" s="28"/>
      <c r="B239" s="29"/>
      <c r="C239" s="36"/>
      <c r="D239" s="30"/>
      <c r="E239" s="29"/>
      <c r="F239" s="44"/>
      <c r="G239" s="44"/>
      <c r="H239" s="44"/>
      <c r="I239" s="44"/>
      <c r="J239" s="44"/>
      <c r="K239" s="44"/>
      <c r="L239" s="45"/>
    </row>
    <row r="240" spans="1:12" ht="33.75" x14ac:dyDescent="0.25">
      <c r="A240" s="28" t="s">
        <v>410</v>
      </c>
      <c r="B240" s="29" t="s">
        <v>43</v>
      </c>
      <c r="C240" s="36" t="s">
        <v>19</v>
      </c>
      <c r="D240" s="30" t="s">
        <v>44</v>
      </c>
      <c r="E240" s="29" t="s">
        <v>27</v>
      </c>
      <c r="F240" s="44">
        <v>6</v>
      </c>
      <c r="G240" s="44">
        <v>160</v>
      </c>
      <c r="H240" s="44"/>
      <c r="I240" s="44"/>
      <c r="J240" s="44"/>
      <c r="K240" s="44"/>
      <c r="L240" s="45">
        <f>G240*F240</f>
        <v>960</v>
      </c>
    </row>
    <row r="241" spans="1:12" x14ac:dyDescent="0.25">
      <c r="A241" s="28"/>
      <c r="B241" s="29"/>
      <c r="C241" s="36"/>
      <c r="D241" s="30"/>
      <c r="E241" s="29"/>
      <c r="F241" s="44"/>
      <c r="G241" s="44"/>
      <c r="H241" s="44"/>
      <c r="I241" s="44"/>
      <c r="J241" s="44"/>
      <c r="K241" s="44"/>
      <c r="L241" s="45"/>
    </row>
    <row r="242" spans="1:12" ht="22.5" x14ac:dyDescent="0.25">
      <c r="A242" s="38" t="s">
        <v>412</v>
      </c>
      <c r="B242" s="52"/>
      <c r="C242" s="53"/>
      <c r="D242" s="41" t="s">
        <v>417</v>
      </c>
      <c r="E242" s="52"/>
      <c r="F242" s="42"/>
      <c r="G242" s="42"/>
      <c r="H242" s="42"/>
      <c r="I242" s="42"/>
      <c r="J242" s="42"/>
      <c r="K242" s="42"/>
      <c r="L242" s="43"/>
    </row>
    <row r="243" spans="1:12" ht="22.5" x14ac:dyDescent="0.25">
      <c r="A243" s="28" t="s">
        <v>413</v>
      </c>
      <c r="B243" s="29" t="s">
        <v>468</v>
      </c>
      <c r="C243" s="36" t="s">
        <v>464</v>
      </c>
      <c r="D243" s="30" t="s">
        <v>469</v>
      </c>
      <c r="E243" s="29" t="s">
        <v>27</v>
      </c>
      <c r="F243" s="44">
        <v>6</v>
      </c>
      <c r="G243" s="44">
        <f>(2*20)+3.84</f>
        <v>43.84</v>
      </c>
      <c r="H243" s="44"/>
      <c r="I243" s="44"/>
      <c r="J243" s="44"/>
      <c r="K243" s="44"/>
      <c r="L243" s="45">
        <f>G243*F243</f>
        <v>263.04000000000002</v>
      </c>
    </row>
    <row r="244" spans="1:12" x14ac:dyDescent="0.25">
      <c r="A244" s="28"/>
      <c r="B244" s="29"/>
      <c r="C244" s="36"/>
      <c r="D244" s="30"/>
      <c r="E244" s="29"/>
      <c r="F244" s="44"/>
      <c r="G244" s="44"/>
      <c r="H244" s="44"/>
      <c r="I244" s="44"/>
      <c r="J244" s="44"/>
      <c r="K244" s="44"/>
      <c r="L244" s="45"/>
    </row>
    <row r="245" spans="1:12" ht="56.25" x14ac:dyDescent="0.25">
      <c r="A245" s="28" t="s">
        <v>414</v>
      </c>
      <c r="B245" s="29" t="s">
        <v>37</v>
      </c>
      <c r="C245" s="36" t="s">
        <v>369</v>
      </c>
      <c r="D245" s="30" t="s">
        <v>38</v>
      </c>
      <c r="E245" s="29" t="s">
        <v>33</v>
      </c>
      <c r="F245" s="44"/>
      <c r="G245" s="44">
        <v>43.84</v>
      </c>
      <c r="H245" s="44"/>
      <c r="I245" s="44">
        <v>2</v>
      </c>
      <c r="J245" s="44"/>
      <c r="K245" s="44"/>
      <c r="L245" s="45">
        <f>G245*I245</f>
        <v>87.68</v>
      </c>
    </row>
    <row r="246" spans="1:12" x14ac:dyDescent="0.25">
      <c r="A246" s="28"/>
      <c r="B246" s="29"/>
      <c r="C246" s="36"/>
      <c r="D246" s="30"/>
      <c r="E246" s="29"/>
      <c r="F246" s="44"/>
      <c r="G246" s="44"/>
      <c r="H246" s="44"/>
      <c r="I246" s="44"/>
      <c r="J246" s="44"/>
      <c r="K246" s="44"/>
      <c r="L246" s="54"/>
    </row>
    <row r="247" spans="1:12" ht="33.75" x14ac:dyDescent="0.25">
      <c r="A247" s="28" t="s">
        <v>415</v>
      </c>
      <c r="B247" s="29" t="s">
        <v>40</v>
      </c>
      <c r="C247" s="36" t="s">
        <v>465</v>
      </c>
      <c r="D247" s="30" t="s">
        <v>41</v>
      </c>
      <c r="E247" s="29" t="s">
        <v>33</v>
      </c>
      <c r="F247" s="44"/>
      <c r="G247" s="44">
        <v>43.84</v>
      </c>
      <c r="H247" s="44"/>
      <c r="I247" s="44">
        <v>2</v>
      </c>
      <c r="J247" s="44"/>
      <c r="K247" s="44"/>
      <c r="L247" s="45">
        <f>G247*I247</f>
        <v>87.68</v>
      </c>
    </row>
    <row r="248" spans="1:12" x14ac:dyDescent="0.25">
      <c r="A248" s="28"/>
      <c r="B248" s="29"/>
      <c r="C248" s="36"/>
      <c r="D248" s="30"/>
      <c r="E248" s="29"/>
      <c r="F248" s="44"/>
      <c r="G248" s="44"/>
      <c r="H248" s="44"/>
      <c r="I248" s="44"/>
      <c r="J248" s="44"/>
      <c r="K248" s="44"/>
      <c r="L248" s="45"/>
    </row>
    <row r="249" spans="1:12" ht="33.75" x14ac:dyDescent="0.25">
      <c r="A249" s="28" t="s">
        <v>416</v>
      </c>
      <c r="B249" s="29" t="s">
        <v>43</v>
      </c>
      <c r="C249" s="36" t="s">
        <v>19</v>
      </c>
      <c r="D249" s="30" t="s">
        <v>44</v>
      </c>
      <c r="E249" s="29" t="s">
        <v>27</v>
      </c>
      <c r="F249" s="44">
        <v>6</v>
      </c>
      <c r="G249" s="44">
        <v>43.84</v>
      </c>
      <c r="H249" s="44"/>
      <c r="I249" s="44"/>
      <c r="J249" s="44"/>
      <c r="K249" s="44"/>
      <c r="L249" s="45">
        <f>G249*F249</f>
        <v>263.04000000000002</v>
      </c>
    </row>
    <row r="250" spans="1:12" x14ac:dyDescent="0.25">
      <c r="A250" s="28"/>
      <c r="B250" s="29"/>
      <c r="C250" s="36"/>
      <c r="D250" s="30"/>
      <c r="E250" s="29"/>
      <c r="F250" s="44"/>
      <c r="G250" s="44"/>
      <c r="H250" s="44"/>
      <c r="I250" s="44"/>
      <c r="J250" s="44"/>
      <c r="K250" s="44"/>
      <c r="L250" s="45"/>
    </row>
    <row r="251" spans="1:12" x14ac:dyDescent="0.25">
      <c r="A251" s="38" t="s">
        <v>418</v>
      </c>
      <c r="B251" s="52"/>
      <c r="C251" s="53"/>
      <c r="D251" s="41" t="s">
        <v>423</v>
      </c>
      <c r="E251" s="52"/>
      <c r="F251" s="42"/>
      <c r="G251" s="42"/>
      <c r="H251" s="42"/>
      <c r="I251" s="42"/>
      <c r="J251" s="42"/>
      <c r="K251" s="42"/>
      <c r="L251" s="43"/>
    </row>
    <row r="252" spans="1:12" ht="22.5" x14ac:dyDescent="0.25">
      <c r="A252" s="28" t="s">
        <v>419</v>
      </c>
      <c r="B252" s="29" t="s">
        <v>468</v>
      </c>
      <c r="C252" s="36" t="s">
        <v>464</v>
      </c>
      <c r="D252" s="30" t="s">
        <v>469</v>
      </c>
      <c r="E252" s="29" t="s">
        <v>27</v>
      </c>
      <c r="F252" s="44">
        <v>6</v>
      </c>
      <c r="G252" s="44">
        <f>(4*20)+10.73</f>
        <v>90.73</v>
      </c>
      <c r="H252" s="44"/>
      <c r="I252" s="44"/>
      <c r="J252" s="44"/>
      <c r="K252" s="44"/>
      <c r="L252" s="45">
        <f>G252*F252</f>
        <v>544.38</v>
      </c>
    </row>
    <row r="253" spans="1:12" x14ac:dyDescent="0.25">
      <c r="A253" s="28"/>
      <c r="B253" s="29"/>
      <c r="C253" s="36"/>
      <c r="D253" s="30"/>
      <c r="E253" s="29"/>
      <c r="F253" s="44"/>
      <c r="G253" s="44"/>
      <c r="H253" s="44"/>
      <c r="I253" s="44"/>
      <c r="J253" s="44"/>
      <c r="K253" s="44"/>
      <c r="L253" s="45"/>
    </row>
    <row r="254" spans="1:12" ht="56.25" x14ac:dyDescent="0.25">
      <c r="A254" s="28" t="s">
        <v>420</v>
      </c>
      <c r="B254" s="29" t="s">
        <v>37</v>
      </c>
      <c r="C254" s="36" t="s">
        <v>369</v>
      </c>
      <c r="D254" s="30" t="s">
        <v>38</v>
      </c>
      <c r="E254" s="29" t="s">
        <v>33</v>
      </c>
      <c r="F254" s="44"/>
      <c r="G254" s="44">
        <v>90.73</v>
      </c>
      <c r="H254" s="44"/>
      <c r="I254" s="44">
        <v>2</v>
      </c>
      <c r="J254" s="44"/>
      <c r="K254" s="44"/>
      <c r="L254" s="45">
        <f>G254*I254</f>
        <v>181.46</v>
      </c>
    </row>
    <row r="255" spans="1:12" x14ac:dyDescent="0.25">
      <c r="A255" s="28"/>
      <c r="B255" s="29"/>
      <c r="C255" s="36"/>
      <c r="D255" s="30"/>
      <c r="E255" s="29"/>
      <c r="F255" s="44"/>
      <c r="G255" s="44"/>
      <c r="H255" s="44"/>
      <c r="I255" s="44"/>
      <c r="J255" s="44"/>
      <c r="K255" s="44"/>
      <c r="L255" s="54"/>
    </row>
    <row r="256" spans="1:12" ht="33.75" x14ac:dyDescent="0.25">
      <c r="A256" s="28" t="s">
        <v>421</v>
      </c>
      <c r="B256" s="29" t="s">
        <v>40</v>
      </c>
      <c r="C256" s="36" t="s">
        <v>465</v>
      </c>
      <c r="D256" s="30" t="s">
        <v>41</v>
      </c>
      <c r="E256" s="29" t="s">
        <v>33</v>
      </c>
      <c r="F256" s="44"/>
      <c r="G256" s="44">
        <v>90.73</v>
      </c>
      <c r="H256" s="44"/>
      <c r="I256" s="44">
        <v>2</v>
      </c>
      <c r="J256" s="44"/>
      <c r="K256" s="44"/>
      <c r="L256" s="45">
        <f>G256*I256</f>
        <v>181.46</v>
      </c>
    </row>
    <row r="257" spans="1:12" x14ac:dyDescent="0.25">
      <c r="A257" s="28"/>
      <c r="B257" s="29"/>
      <c r="C257" s="36"/>
      <c r="D257" s="30"/>
      <c r="E257" s="29"/>
      <c r="F257" s="44"/>
      <c r="G257" s="44"/>
      <c r="H257" s="44"/>
      <c r="I257" s="44"/>
      <c r="J257" s="44"/>
      <c r="K257" s="44"/>
      <c r="L257" s="45"/>
    </row>
    <row r="258" spans="1:12" ht="33.75" x14ac:dyDescent="0.25">
      <c r="A258" s="28" t="s">
        <v>422</v>
      </c>
      <c r="B258" s="29" t="s">
        <v>43</v>
      </c>
      <c r="C258" s="36" t="s">
        <v>19</v>
      </c>
      <c r="D258" s="30" t="s">
        <v>44</v>
      </c>
      <c r="E258" s="29" t="s">
        <v>27</v>
      </c>
      <c r="F258" s="44">
        <v>6</v>
      </c>
      <c r="G258" s="44">
        <v>90.73</v>
      </c>
      <c r="H258" s="44"/>
      <c r="I258" s="44"/>
      <c r="J258" s="44"/>
      <c r="K258" s="44"/>
      <c r="L258" s="45">
        <f>G258*F258</f>
        <v>544.38</v>
      </c>
    </row>
    <row r="259" spans="1:12" x14ac:dyDescent="0.25">
      <c r="A259" s="28"/>
      <c r="B259" s="29"/>
      <c r="C259" s="36"/>
      <c r="D259" s="30"/>
      <c r="E259" s="29"/>
      <c r="F259" s="44"/>
      <c r="G259" s="44"/>
      <c r="H259" s="44"/>
      <c r="I259" s="44"/>
      <c r="J259" s="44"/>
      <c r="K259" s="44"/>
      <c r="L259" s="45"/>
    </row>
    <row r="260" spans="1:12" x14ac:dyDescent="0.25">
      <c r="A260" s="38" t="s">
        <v>424</v>
      </c>
      <c r="B260" s="52"/>
      <c r="C260" s="53"/>
      <c r="D260" s="41" t="s">
        <v>310</v>
      </c>
      <c r="E260" s="52"/>
      <c r="F260" s="42"/>
      <c r="G260" s="42"/>
      <c r="H260" s="42"/>
      <c r="I260" s="42"/>
      <c r="J260" s="42"/>
      <c r="K260" s="42"/>
      <c r="L260" s="43"/>
    </row>
    <row r="261" spans="1:12" ht="22.5" x14ac:dyDescent="0.25">
      <c r="A261" s="28" t="s">
        <v>425</v>
      </c>
      <c r="B261" s="29" t="s">
        <v>468</v>
      </c>
      <c r="C261" s="36" t="s">
        <v>464</v>
      </c>
      <c r="D261" s="30" t="s">
        <v>469</v>
      </c>
      <c r="E261" s="29" t="s">
        <v>27</v>
      </c>
      <c r="F261" s="44">
        <v>6</v>
      </c>
      <c r="G261" s="44">
        <f>(4*20)+10.73</f>
        <v>90.73</v>
      </c>
      <c r="H261" s="44"/>
      <c r="I261" s="44"/>
      <c r="J261" s="44"/>
      <c r="K261" s="44"/>
      <c r="L261" s="45">
        <f>G261*F261</f>
        <v>544.38</v>
      </c>
    </row>
    <row r="262" spans="1:12" x14ac:dyDescent="0.25">
      <c r="A262" s="28"/>
      <c r="B262" s="29"/>
      <c r="C262" s="36"/>
      <c r="D262" s="30"/>
      <c r="E262" s="29"/>
      <c r="F262" s="44"/>
      <c r="G262" s="44"/>
      <c r="H262" s="44"/>
      <c r="I262" s="44"/>
      <c r="J262" s="44"/>
      <c r="K262" s="44"/>
      <c r="L262" s="45"/>
    </row>
    <row r="263" spans="1:12" ht="56.25" x14ac:dyDescent="0.25">
      <c r="A263" s="28" t="s">
        <v>426</v>
      </c>
      <c r="B263" s="29" t="s">
        <v>37</v>
      </c>
      <c r="C263" s="36" t="s">
        <v>369</v>
      </c>
      <c r="D263" s="30" t="s">
        <v>38</v>
      </c>
      <c r="E263" s="29" t="s">
        <v>33</v>
      </c>
      <c r="F263" s="44"/>
      <c r="G263" s="44">
        <v>90.73</v>
      </c>
      <c r="H263" s="44"/>
      <c r="I263" s="44">
        <v>2</v>
      </c>
      <c r="J263" s="44"/>
      <c r="K263" s="44"/>
      <c r="L263" s="45">
        <f>G263*I263</f>
        <v>181.46</v>
      </c>
    </row>
    <row r="264" spans="1:12" x14ac:dyDescent="0.25">
      <c r="A264" s="28"/>
      <c r="B264" s="29"/>
      <c r="C264" s="36"/>
      <c r="D264" s="30"/>
      <c r="E264" s="29"/>
      <c r="F264" s="44"/>
      <c r="G264" s="44"/>
      <c r="H264" s="44"/>
      <c r="I264" s="44"/>
      <c r="J264" s="44"/>
      <c r="K264" s="44"/>
      <c r="L264" s="54"/>
    </row>
    <row r="265" spans="1:12" ht="33.75" x14ac:dyDescent="0.25">
      <c r="A265" s="28" t="s">
        <v>427</v>
      </c>
      <c r="B265" s="29" t="s">
        <v>40</v>
      </c>
      <c r="C265" s="36" t="s">
        <v>465</v>
      </c>
      <c r="D265" s="30" t="s">
        <v>41</v>
      </c>
      <c r="E265" s="29" t="s">
        <v>33</v>
      </c>
      <c r="F265" s="44"/>
      <c r="G265" s="44">
        <v>90.73</v>
      </c>
      <c r="H265" s="44"/>
      <c r="I265" s="44">
        <v>2</v>
      </c>
      <c r="J265" s="44"/>
      <c r="K265" s="44"/>
      <c r="L265" s="45">
        <f>G265*I265</f>
        <v>181.46</v>
      </c>
    </row>
    <row r="266" spans="1:12" x14ac:dyDescent="0.25">
      <c r="A266" s="28"/>
      <c r="B266" s="29"/>
      <c r="C266" s="36"/>
      <c r="D266" s="30"/>
      <c r="E266" s="29"/>
      <c r="F266" s="44"/>
      <c r="G266" s="44"/>
      <c r="H266" s="44"/>
      <c r="I266" s="44"/>
      <c r="J266" s="44"/>
      <c r="K266" s="44"/>
      <c r="L266" s="45"/>
    </row>
    <row r="267" spans="1:12" ht="33.75" x14ac:dyDescent="0.25">
      <c r="A267" s="28" t="s">
        <v>428</v>
      </c>
      <c r="B267" s="29" t="s">
        <v>43</v>
      </c>
      <c r="C267" s="36" t="s">
        <v>19</v>
      </c>
      <c r="D267" s="30" t="s">
        <v>44</v>
      </c>
      <c r="E267" s="29" t="s">
        <v>27</v>
      </c>
      <c r="F267" s="44">
        <v>6</v>
      </c>
      <c r="G267" s="44">
        <v>90.73</v>
      </c>
      <c r="H267" s="44"/>
      <c r="I267" s="44"/>
      <c r="J267" s="44"/>
      <c r="K267" s="44"/>
      <c r="L267" s="45">
        <f>G267*F267</f>
        <v>544.38</v>
      </c>
    </row>
    <row r="268" spans="1:12" x14ac:dyDescent="0.25">
      <c r="A268" s="28"/>
      <c r="B268" s="29"/>
      <c r="C268" s="36"/>
      <c r="D268" s="30"/>
      <c r="E268" s="29"/>
      <c r="F268" s="44"/>
      <c r="G268" s="44"/>
      <c r="H268" s="44"/>
      <c r="I268" s="44"/>
      <c r="J268" s="44"/>
      <c r="K268" s="44"/>
      <c r="L268" s="45"/>
    </row>
    <row r="269" spans="1:12" ht="33.75" x14ac:dyDescent="0.25">
      <c r="A269" s="38" t="s">
        <v>429</v>
      </c>
      <c r="B269" s="52"/>
      <c r="C269" s="53"/>
      <c r="D269" s="41" t="s">
        <v>434</v>
      </c>
      <c r="E269" s="52"/>
      <c r="F269" s="42"/>
      <c r="G269" s="42"/>
      <c r="H269" s="42"/>
      <c r="I269" s="42"/>
      <c r="J269" s="42"/>
      <c r="K269" s="42"/>
      <c r="L269" s="43"/>
    </row>
    <row r="270" spans="1:12" ht="22.5" x14ac:dyDescent="0.25">
      <c r="A270" s="28" t="s">
        <v>430</v>
      </c>
      <c r="B270" s="29" t="s">
        <v>468</v>
      </c>
      <c r="C270" s="36" t="s">
        <v>464</v>
      </c>
      <c r="D270" s="30" t="s">
        <v>469</v>
      </c>
      <c r="E270" s="29" t="s">
        <v>27</v>
      </c>
      <c r="F270" s="44">
        <v>6</v>
      </c>
      <c r="G270" s="44">
        <f>(2*20)+4.34</f>
        <v>44.34</v>
      </c>
      <c r="H270" s="44"/>
      <c r="I270" s="44"/>
      <c r="J270" s="44"/>
      <c r="K270" s="44"/>
      <c r="L270" s="45">
        <f>G270*F270</f>
        <v>266.04000000000002</v>
      </c>
    </row>
    <row r="271" spans="1:12" x14ac:dyDescent="0.25">
      <c r="A271" s="28"/>
      <c r="B271" s="29"/>
      <c r="C271" s="36"/>
      <c r="D271" s="30"/>
      <c r="E271" s="29"/>
      <c r="F271" s="44"/>
      <c r="G271" s="44"/>
      <c r="H271" s="44"/>
      <c r="I271" s="44"/>
      <c r="J271" s="44"/>
      <c r="K271" s="44"/>
      <c r="L271" s="45"/>
    </row>
    <row r="272" spans="1:12" ht="56.25" x14ac:dyDescent="0.25">
      <c r="A272" s="28" t="s">
        <v>431</v>
      </c>
      <c r="B272" s="29" t="s">
        <v>37</v>
      </c>
      <c r="C272" s="36" t="s">
        <v>369</v>
      </c>
      <c r="D272" s="30" t="s">
        <v>38</v>
      </c>
      <c r="E272" s="29" t="s">
        <v>33</v>
      </c>
      <c r="F272" s="44"/>
      <c r="G272" s="44">
        <v>44.34</v>
      </c>
      <c r="H272" s="44"/>
      <c r="I272" s="44">
        <v>2</v>
      </c>
      <c r="J272" s="44"/>
      <c r="K272" s="44"/>
      <c r="L272" s="45">
        <f>G272*I272</f>
        <v>88.68</v>
      </c>
    </row>
    <row r="273" spans="1:14" x14ac:dyDescent="0.25">
      <c r="A273" s="28"/>
      <c r="B273" s="29"/>
      <c r="C273" s="36"/>
      <c r="D273" s="30"/>
      <c r="E273" s="29"/>
      <c r="F273" s="44"/>
      <c r="G273" s="44"/>
      <c r="H273" s="44"/>
      <c r="I273" s="44"/>
      <c r="J273" s="44"/>
      <c r="K273" s="44"/>
      <c r="L273" s="54"/>
    </row>
    <row r="274" spans="1:14" ht="33.75" x14ac:dyDescent="0.25">
      <c r="A274" s="28" t="s">
        <v>432</v>
      </c>
      <c r="B274" s="29" t="s">
        <v>40</v>
      </c>
      <c r="C274" s="36" t="s">
        <v>465</v>
      </c>
      <c r="D274" s="30" t="s">
        <v>41</v>
      </c>
      <c r="E274" s="29" t="s">
        <v>33</v>
      </c>
      <c r="F274" s="44"/>
      <c r="G274" s="44">
        <v>44.34</v>
      </c>
      <c r="H274" s="44"/>
      <c r="I274" s="44">
        <v>2</v>
      </c>
      <c r="J274" s="44"/>
      <c r="K274" s="44"/>
      <c r="L274" s="45">
        <f>G274*I274</f>
        <v>88.68</v>
      </c>
    </row>
    <row r="275" spans="1:14" x14ac:dyDescent="0.25">
      <c r="A275" s="28"/>
      <c r="B275" s="29"/>
      <c r="C275" s="36"/>
      <c r="D275" s="30"/>
      <c r="E275" s="29"/>
      <c r="F275" s="44"/>
      <c r="G275" s="44"/>
      <c r="H275" s="44"/>
      <c r="I275" s="44"/>
      <c r="J275" s="44"/>
      <c r="K275" s="44"/>
      <c r="L275" s="45"/>
    </row>
    <row r="276" spans="1:14" ht="33.75" x14ac:dyDescent="0.25">
      <c r="A276" s="28" t="s">
        <v>433</v>
      </c>
      <c r="B276" s="29" t="s">
        <v>43</v>
      </c>
      <c r="C276" s="36" t="s">
        <v>19</v>
      </c>
      <c r="D276" s="30" t="s">
        <v>44</v>
      </c>
      <c r="E276" s="29" t="s">
        <v>27</v>
      </c>
      <c r="F276" s="44">
        <v>6</v>
      </c>
      <c r="G276" s="44">
        <v>44.34</v>
      </c>
      <c r="H276" s="44"/>
      <c r="I276" s="44"/>
      <c r="J276" s="44"/>
      <c r="K276" s="44"/>
      <c r="L276" s="45">
        <f>G276*F276</f>
        <v>266.04000000000002</v>
      </c>
    </row>
    <row r="277" spans="1:14" x14ac:dyDescent="0.25">
      <c r="A277" s="56"/>
      <c r="B277" s="57"/>
      <c r="C277" s="57"/>
      <c r="D277" s="57"/>
      <c r="E277" s="57"/>
      <c r="F277" s="57"/>
      <c r="G277" s="57"/>
      <c r="H277" s="57"/>
      <c r="I277" s="57"/>
      <c r="J277" s="57"/>
      <c r="K277" s="57"/>
      <c r="L277" s="58"/>
    </row>
    <row r="278" spans="1:14" ht="22.5" x14ac:dyDescent="0.25">
      <c r="A278" s="46" t="s">
        <v>139</v>
      </c>
      <c r="B278" s="47"/>
      <c r="C278" s="48"/>
      <c r="D278" s="49" t="s">
        <v>140</v>
      </c>
      <c r="E278" s="47"/>
      <c r="F278" s="50"/>
      <c r="G278" s="50"/>
      <c r="H278" s="50"/>
      <c r="I278" s="50"/>
      <c r="J278" s="50"/>
      <c r="K278" s="50"/>
      <c r="L278" s="51"/>
    </row>
    <row r="279" spans="1:14" s="85" customFormat="1" ht="22.5" x14ac:dyDescent="0.25">
      <c r="A279" s="38" t="s">
        <v>141</v>
      </c>
      <c r="B279" s="52"/>
      <c r="C279" s="53"/>
      <c r="D279" s="41" t="s">
        <v>437</v>
      </c>
      <c r="E279" s="52"/>
      <c r="F279" s="42"/>
      <c r="G279" s="42"/>
      <c r="H279" s="42"/>
      <c r="I279" s="42"/>
      <c r="J279" s="42"/>
      <c r="K279" s="42"/>
      <c r="L279" s="43"/>
      <c r="N279" s="87"/>
    </row>
    <row r="280" spans="1:14" s="85" customFormat="1" ht="22.5" x14ac:dyDescent="0.25">
      <c r="A280" s="28" t="s">
        <v>142</v>
      </c>
      <c r="B280" s="29" t="s">
        <v>468</v>
      </c>
      <c r="C280" s="36" t="s">
        <v>464</v>
      </c>
      <c r="D280" s="30" t="s">
        <v>469</v>
      </c>
      <c r="E280" s="29" t="s">
        <v>27</v>
      </c>
      <c r="F280" s="44"/>
      <c r="G280" s="44"/>
      <c r="H280" s="44"/>
      <c r="I280" s="44"/>
      <c r="J280" s="44"/>
      <c r="K280" s="44"/>
      <c r="L280" s="45">
        <f>SUM(L281:L282)</f>
        <v>1520.48</v>
      </c>
      <c r="N280" s="87"/>
    </row>
    <row r="281" spans="1:14" s="85" customFormat="1" x14ac:dyDescent="0.25">
      <c r="A281" s="28"/>
      <c r="B281" s="29"/>
      <c r="C281" s="36"/>
      <c r="D281" s="30" t="s">
        <v>435</v>
      </c>
      <c r="E281" s="29"/>
      <c r="F281" s="44">
        <v>7</v>
      </c>
      <c r="G281" s="44">
        <f>(10*20)+0</f>
        <v>200</v>
      </c>
      <c r="H281" s="44"/>
      <c r="I281" s="44"/>
      <c r="J281" s="44"/>
      <c r="K281" s="44"/>
      <c r="L281" s="54">
        <f>G281*F281</f>
        <v>1400</v>
      </c>
      <c r="N281" s="87"/>
    </row>
    <row r="282" spans="1:14" s="85" customFormat="1" x14ac:dyDescent="0.25">
      <c r="A282" s="28"/>
      <c r="B282" s="29"/>
      <c r="C282" s="36"/>
      <c r="D282" s="30" t="s">
        <v>436</v>
      </c>
      <c r="E282" s="29"/>
      <c r="F282" s="44">
        <f>AVERAGE(23.12,7)</f>
        <v>15.06</v>
      </c>
      <c r="G282" s="44">
        <f>(0*20)+8</f>
        <v>8</v>
      </c>
      <c r="H282" s="44"/>
      <c r="I282" s="44"/>
      <c r="J282" s="44"/>
      <c r="K282" s="44"/>
      <c r="L282" s="54">
        <f>G282*F282</f>
        <v>120.48</v>
      </c>
      <c r="N282" s="87"/>
    </row>
    <row r="283" spans="1:14" s="85" customFormat="1" x14ac:dyDescent="0.25">
      <c r="A283" s="28"/>
      <c r="B283" s="29"/>
      <c r="C283" s="36"/>
      <c r="D283" s="30"/>
      <c r="E283" s="29"/>
      <c r="F283" s="44"/>
      <c r="G283" s="44"/>
      <c r="H283" s="44"/>
      <c r="I283" s="44"/>
      <c r="J283" s="44"/>
      <c r="K283" s="44"/>
      <c r="L283" s="45"/>
      <c r="N283" s="87"/>
    </row>
    <row r="284" spans="1:14" s="85" customFormat="1" ht="56.25" x14ac:dyDescent="0.25">
      <c r="A284" s="28" t="s">
        <v>143</v>
      </c>
      <c r="B284" s="29" t="s">
        <v>37</v>
      </c>
      <c r="C284" s="36" t="s">
        <v>369</v>
      </c>
      <c r="D284" s="30" t="s">
        <v>38</v>
      </c>
      <c r="E284" s="29" t="s">
        <v>33</v>
      </c>
      <c r="F284" s="44"/>
      <c r="G284" s="44">
        <v>208</v>
      </c>
      <c r="H284" s="44"/>
      <c r="I284" s="44">
        <v>2</v>
      </c>
      <c r="J284" s="44"/>
      <c r="K284" s="44"/>
      <c r="L284" s="45">
        <f>G284*I284</f>
        <v>416</v>
      </c>
      <c r="N284" s="87"/>
    </row>
    <row r="285" spans="1:14" s="85" customFormat="1" x14ac:dyDescent="0.25">
      <c r="A285" s="28"/>
      <c r="B285" s="29"/>
      <c r="C285" s="36"/>
      <c r="D285" s="30"/>
      <c r="E285" s="29"/>
      <c r="F285" s="44"/>
      <c r="G285" s="44"/>
      <c r="H285" s="44"/>
      <c r="I285" s="44"/>
      <c r="J285" s="44"/>
      <c r="K285" s="44"/>
      <c r="L285" s="54"/>
      <c r="N285" s="87"/>
    </row>
    <row r="286" spans="1:14" s="85" customFormat="1" ht="33.75" x14ac:dyDescent="0.25">
      <c r="A286" s="28" t="s">
        <v>144</v>
      </c>
      <c r="B286" s="29" t="s">
        <v>40</v>
      </c>
      <c r="C286" s="36" t="s">
        <v>465</v>
      </c>
      <c r="D286" s="30" t="s">
        <v>41</v>
      </c>
      <c r="E286" s="29" t="s">
        <v>33</v>
      </c>
      <c r="F286" s="44"/>
      <c r="G286" s="44">
        <v>208</v>
      </c>
      <c r="H286" s="44"/>
      <c r="I286" s="44">
        <v>2</v>
      </c>
      <c r="J286" s="44"/>
      <c r="K286" s="44"/>
      <c r="L286" s="45">
        <f>G286*I286</f>
        <v>416</v>
      </c>
      <c r="N286" s="87"/>
    </row>
    <row r="287" spans="1:14" s="85" customFormat="1" x14ac:dyDescent="0.25">
      <c r="A287" s="28"/>
      <c r="B287" s="29"/>
      <c r="C287" s="36"/>
      <c r="D287" s="30"/>
      <c r="E287" s="29"/>
      <c r="F287" s="44"/>
      <c r="G287" s="44"/>
      <c r="H287" s="44"/>
      <c r="I287" s="44"/>
      <c r="J287" s="44"/>
      <c r="K287" s="44"/>
      <c r="L287" s="45"/>
      <c r="N287" s="87"/>
    </row>
    <row r="288" spans="1:14" s="85" customFormat="1" ht="33.75" x14ac:dyDescent="0.25">
      <c r="A288" s="28" t="s">
        <v>145</v>
      </c>
      <c r="B288" s="29" t="s">
        <v>43</v>
      </c>
      <c r="C288" s="36" t="s">
        <v>19</v>
      </c>
      <c r="D288" s="30" t="s">
        <v>44</v>
      </c>
      <c r="E288" s="29" t="s">
        <v>27</v>
      </c>
      <c r="F288" s="44"/>
      <c r="G288" s="44"/>
      <c r="H288" s="44"/>
      <c r="I288" s="44"/>
      <c r="J288" s="44"/>
      <c r="K288" s="44"/>
      <c r="L288" s="45">
        <f>SUM(L289:L290)</f>
        <v>1520.48</v>
      </c>
      <c r="N288" s="87"/>
    </row>
    <row r="289" spans="1:14" s="85" customFormat="1" x14ac:dyDescent="0.25">
      <c r="A289" s="83"/>
      <c r="B289" s="70"/>
      <c r="C289" s="65"/>
      <c r="D289" s="30" t="s">
        <v>435</v>
      </c>
      <c r="E289" s="29"/>
      <c r="F289" s="44">
        <v>7</v>
      </c>
      <c r="G289" s="44">
        <f>(10*20)+0</f>
        <v>200</v>
      </c>
      <c r="H289" s="44"/>
      <c r="I289" s="44"/>
      <c r="J289" s="44"/>
      <c r="K289" s="44"/>
      <c r="L289" s="54">
        <f>G289*F289</f>
        <v>1400</v>
      </c>
      <c r="N289" s="87"/>
    </row>
    <row r="290" spans="1:14" s="85" customFormat="1" x14ac:dyDescent="0.25">
      <c r="A290" s="83"/>
      <c r="B290" s="70"/>
      <c r="C290" s="65"/>
      <c r="D290" s="30" t="s">
        <v>436</v>
      </c>
      <c r="E290" s="29"/>
      <c r="F290" s="44">
        <f>AVERAGE(23.12,7)</f>
        <v>15.06</v>
      </c>
      <c r="G290" s="44">
        <f>(0*20)+8</f>
        <v>8</v>
      </c>
      <c r="H290" s="44"/>
      <c r="I290" s="44"/>
      <c r="J290" s="44"/>
      <c r="K290" s="44"/>
      <c r="L290" s="54">
        <f>G290*F290</f>
        <v>120.48</v>
      </c>
      <c r="N290" s="87"/>
    </row>
    <row r="291" spans="1:14" s="85" customFormat="1" x14ac:dyDescent="0.25">
      <c r="A291" s="83"/>
      <c r="B291" s="70"/>
      <c r="C291" s="65"/>
      <c r="D291" s="84"/>
      <c r="E291" s="70"/>
      <c r="F291" s="44"/>
      <c r="G291" s="44"/>
      <c r="H291" s="44"/>
      <c r="I291" s="44"/>
      <c r="J291" s="44"/>
      <c r="K291" s="44"/>
      <c r="L291" s="54"/>
      <c r="N291" s="87"/>
    </row>
    <row r="292" spans="1:14" x14ac:dyDescent="0.25">
      <c r="A292" s="38" t="s">
        <v>146</v>
      </c>
      <c r="B292" s="52"/>
      <c r="C292" s="53"/>
      <c r="D292" s="41" t="s">
        <v>161</v>
      </c>
      <c r="E292" s="52"/>
      <c r="F292" s="42"/>
      <c r="G292" s="42"/>
      <c r="H292" s="42"/>
      <c r="I292" s="42"/>
      <c r="J292" s="42"/>
      <c r="K292" s="42"/>
      <c r="L292" s="43"/>
    </row>
    <row r="293" spans="1:14" ht="22.5" x14ac:dyDescent="0.25">
      <c r="A293" s="28" t="s">
        <v>147</v>
      </c>
      <c r="B293" s="29" t="s">
        <v>468</v>
      </c>
      <c r="C293" s="36" t="s">
        <v>464</v>
      </c>
      <c r="D293" s="30" t="s">
        <v>469</v>
      </c>
      <c r="E293" s="29" t="s">
        <v>27</v>
      </c>
      <c r="F293" s="44">
        <v>6</v>
      </c>
      <c r="G293" s="44">
        <f>(5*20)+9.66</f>
        <v>109.66</v>
      </c>
      <c r="H293" s="44"/>
      <c r="I293" s="44"/>
      <c r="J293" s="44"/>
      <c r="K293" s="44"/>
      <c r="L293" s="45">
        <f>G293*F293</f>
        <v>657.96</v>
      </c>
    </row>
    <row r="294" spans="1:14" x14ac:dyDescent="0.25">
      <c r="A294" s="28"/>
      <c r="B294" s="29"/>
      <c r="C294" s="36"/>
      <c r="D294" s="30"/>
      <c r="E294" s="29"/>
      <c r="F294" s="44"/>
      <c r="G294" s="44"/>
      <c r="H294" s="44"/>
      <c r="I294" s="44"/>
      <c r="J294" s="44"/>
      <c r="K294" s="44"/>
      <c r="L294" s="45"/>
    </row>
    <row r="295" spans="1:14" ht="56.25" x14ac:dyDescent="0.25">
      <c r="A295" s="28" t="s">
        <v>148</v>
      </c>
      <c r="B295" s="29" t="s">
        <v>37</v>
      </c>
      <c r="C295" s="36" t="s">
        <v>369</v>
      </c>
      <c r="D295" s="30" t="s">
        <v>38</v>
      </c>
      <c r="E295" s="29" t="s">
        <v>33</v>
      </c>
      <c r="F295" s="44"/>
      <c r="G295" s="44">
        <v>109.66</v>
      </c>
      <c r="H295" s="44"/>
      <c r="I295" s="44">
        <v>2</v>
      </c>
      <c r="J295" s="44"/>
      <c r="K295" s="44"/>
      <c r="L295" s="45">
        <f>G295*I295</f>
        <v>219.32</v>
      </c>
    </row>
    <row r="296" spans="1:14" x14ac:dyDescent="0.25">
      <c r="A296" s="28"/>
      <c r="B296" s="29"/>
      <c r="C296" s="36"/>
      <c r="D296" s="30"/>
      <c r="E296" s="29"/>
      <c r="F296" s="44"/>
      <c r="G296" s="44"/>
      <c r="H296" s="44"/>
      <c r="I296" s="44"/>
      <c r="J296" s="44"/>
      <c r="K296" s="44"/>
      <c r="L296" s="54"/>
    </row>
    <row r="297" spans="1:14" ht="33.75" x14ac:dyDescent="0.25">
      <c r="A297" s="28" t="s">
        <v>149</v>
      </c>
      <c r="B297" s="29" t="s">
        <v>40</v>
      </c>
      <c r="C297" s="36" t="s">
        <v>465</v>
      </c>
      <c r="D297" s="30" t="s">
        <v>41</v>
      </c>
      <c r="E297" s="29" t="s">
        <v>33</v>
      </c>
      <c r="F297" s="44"/>
      <c r="G297" s="44">
        <v>109.66</v>
      </c>
      <c r="H297" s="44"/>
      <c r="I297" s="44">
        <v>2</v>
      </c>
      <c r="J297" s="44"/>
      <c r="K297" s="44"/>
      <c r="L297" s="45">
        <f>G297*I297</f>
        <v>219.32</v>
      </c>
    </row>
    <row r="298" spans="1:14" x14ac:dyDescent="0.25">
      <c r="A298" s="28"/>
      <c r="B298" s="29"/>
      <c r="C298" s="36"/>
      <c r="D298" s="30"/>
      <c r="E298" s="29"/>
      <c r="F298" s="44"/>
      <c r="G298" s="44"/>
      <c r="H298" s="44"/>
      <c r="I298" s="44"/>
      <c r="J298" s="44"/>
      <c r="K298" s="44"/>
      <c r="L298" s="45"/>
    </row>
    <row r="299" spans="1:14" ht="33.75" x14ac:dyDescent="0.25">
      <c r="A299" s="28" t="s">
        <v>150</v>
      </c>
      <c r="B299" s="29" t="s">
        <v>43</v>
      </c>
      <c r="C299" s="36" t="s">
        <v>19</v>
      </c>
      <c r="D299" s="30" t="s">
        <v>44</v>
      </c>
      <c r="E299" s="29" t="s">
        <v>27</v>
      </c>
      <c r="F299" s="44">
        <v>6</v>
      </c>
      <c r="G299" s="44">
        <v>109.66</v>
      </c>
      <c r="H299" s="44"/>
      <c r="I299" s="44"/>
      <c r="J299" s="44"/>
      <c r="K299" s="44"/>
      <c r="L299" s="45">
        <f>G299*F299</f>
        <v>657.96</v>
      </c>
    </row>
    <row r="300" spans="1:14" x14ac:dyDescent="0.25">
      <c r="A300" s="56"/>
      <c r="B300" s="57"/>
      <c r="C300" s="57"/>
      <c r="D300" s="57"/>
      <c r="E300" s="57"/>
      <c r="F300" s="57"/>
      <c r="G300" s="57"/>
      <c r="H300" s="57"/>
      <c r="I300" s="57"/>
      <c r="J300" s="57"/>
      <c r="K300" s="57"/>
      <c r="L300" s="58"/>
    </row>
    <row r="301" spans="1:14" ht="33.75" x14ac:dyDescent="0.25">
      <c r="A301" s="38" t="s">
        <v>151</v>
      </c>
      <c r="B301" s="52"/>
      <c r="C301" s="53"/>
      <c r="D301" s="41" t="s">
        <v>167</v>
      </c>
      <c r="E301" s="52"/>
      <c r="F301" s="42"/>
      <c r="G301" s="42"/>
      <c r="H301" s="42"/>
      <c r="I301" s="42"/>
      <c r="J301" s="42"/>
      <c r="K301" s="42"/>
      <c r="L301" s="43"/>
    </row>
    <row r="302" spans="1:14" ht="22.5" x14ac:dyDescent="0.25">
      <c r="A302" s="28" t="s">
        <v>152</v>
      </c>
      <c r="B302" s="29" t="s">
        <v>468</v>
      </c>
      <c r="C302" s="36" t="s">
        <v>464</v>
      </c>
      <c r="D302" s="30" t="s">
        <v>469</v>
      </c>
      <c r="E302" s="29" t="s">
        <v>27</v>
      </c>
      <c r="F302" s="44">
        <v>6</v>
      </c>
      <c r="G302" s="44">
        <f>(4*20)+5.39</f>
        <v>85.39</v>
      </c>
      <c r="H302" s="44"/>
      <c r="I302" s="44"/>
      <c r="J302" s="44"/>
      <c r="K302" s="44"/>
      <c r="L302" s="45">
        <f>G302*F302</f>
        <v>512.34</v>
      </c>
    </row>
    <row r="303" spans="1:14" x14ac:dyDescent="0.25">
      <c r="A303" s="28"/>
      <c r="B303" s="29"/>
      <c r="C303" s="36"/>
      <c r="D303" s="30"/>
      <c r="E303" s="29"/>
      <c r="F303" s="44"/>
      <c r="G303" s="44"/>
      <c r="H303" s="44"/>
      <c r="I303" s="44"/>
      <c r="J303" s="44"/>
      <c r="K303" s="44"/>
      <c r="L303" s="45"/>
    </row>
    <row r="304" spans="1:14" ht="56.25" x14ac:dyDescent="0.25">
      <c r="A304" s="28" t="s">
        <v>153</v>
      </c>
      <c r="B304" s="29" t="s">
        <v>37</v>
      </c>
      <c r="C304" s="36" t="s">
        <v>369</v>
      </c>
      <c r="D304" s="30" t="s">
        <v>38</v>
      </c>
      <c r="E304" s="29" t="s">
        <v>33</v>
      </c>
      <c r="F304" s="44"/>
      <c r="G304" s="44">
        <v>85.39</v>
      </c>
      <c r="H304" s="44"/>
      <c r="I304" s="44">
        <v>2</v>
      </c>
      <c r="J304" s="44"/>
      <c r="K304" s="44"/>
      <c r="L304" s="45">
        <f>G304*I304</f>
        <v>170.78</v>
      </c>
    </row>
    <row r="305" spans="1:12" x14ac:dyDescent="0.25">
      <c r="A305" s="28"/>
      <c r="B305" s="29"/>
      <c r="C305" s="36"/>
      <c r="D305" s="30"/>
      <c r="E305" s="29"/>
      <c r="F305" s="44"/>
      <c r="G305" s="44"/>
      <c r="H305" s="44"/>
      <c r="I305" s="44"/>
      <c r="J305" s="44"/>
      <c r="K305" s="44"/>
      <c r="L305" s="54"/>
    </row>
    <row r="306" spans="1:12" ht="33.75" x14ac:dyDescent="0.25">
      <c r="A306" s="28" t="s">
        <v>154</v>
      </c>
      <c r="B306" s="29" t="s">
        <v>40</v>
      </c>
      <c r="C306" s="36" t="s">
        <v>465</v>
      </c>
      <c r="D306" s="30" t="s">
        <v>41</v>
      </c>
      <c r="E306" s="29" t="s">
        <v>33</v>
      </c>
      <c r="F306" s="44"/>
      <c r="G306" s="44">
        <v>85.39</v>
      </c>
      <c r="H306" s="44"/>
      <c r="I306" s="44">
        <v>2</v>
      </c>
      <c r="J306" s="44"/>
      <c r="K306" s="44"/>
      <c r="L306" s="45">
        <f>G306*I306</f>
        <v>170.78</v>
      </c>
    </row>
    <row r="307" spans="1:12" x14ac:dyDescent="0.25">
      <c r="A307" s="28"/>
      <c r="B307" s="29"/>
      <c r="C307" s="36"/>
      <c r="D307" s="30"/>
      <c r="E307" s="29"/>
      <c r="F307" s="44"/>
      <c r="G307" s="44"/>
      <c r="H307" s="44"/>
      <c r="I307" s="44"/>
      <c r="J307" s="44"/>
      <c r="K307" s="44"/>
      <c r="L307" s="45"/>
    </row>
    <row r="308" spans="1:12" ht="33.75" x14ac:dyDescent="0.25">
      <c r="A308" s="28" t="s">
        <v>155</v>
      </c>
      <c r="B308" s="29" t="s">
        <v>43</v>
      </c>
      <c r="C308" s="36" t="s">
        <v>19</v>
      </c>
      <c r="D308" s="30" t="s">
        <v>44</v>
      </c>
      <c r="E308" s="29" t="s">
        <v>27</v>
      </c>
      <c r="F308" s="44">
        <v>6</v>
      </c>
      <c r="G308" s="44">
        <v>85.39</v>
      </c>
      <c r="H308" s="44"/>
      <c r="I308" s="44"/>
      <c r="J308" s="44"/>
      <c r="K308" s="44"/>
      <c r="L308" s="45">
        <f>G308*F308</f>
        <v>512.34</v>
      </c>
    </row>
    <row r="309" spans="1:12" x14ac:dyDescent="0.25">
      <c r="A309" s="56"/>
      <c r="B309" s="57"/>
      <c r="C309" s="57"/>
      <c r="D309" s="57"/>
      <c r="E309" s="57"/>
      <c r="F309" s="57"/>
      <c r="G309" s="57"/>
      <c r="H309" s="57"/>
      <c r="I309" s="57"/>
      <c r="J309" s="57"/>
      <c r="K309" s="57"/>
      <c r="L309" s="58"/>
    </row>
    <row r="310" spans="1:12" x14ac:dyDescent="0.25">
      <c r="A310" s="38" t="s">
        <v>156</v>
      </c>
      <c r="B310" s="52"/>
      <c r="C310" s="53"/>
      <c r="D310" s="41" t="s">
        <v>438</v>
      </c>
      <c r="E310" s="52"/>
      <c r="F310" s="42"/>
      <c r="G310" s="42"/>
      <c r="H310" s="42"/>
      <c r="I310" s="42"/>
      <c r="J310" s="42"/>
      <c r="K310" s="42"/>
      <c r="L310" s="43"/>
    </row>
    <row r="311" spans="1:12" ht="22.5" x14ac:dyDescent="0.25">
      <c r="A311" s="28" t="s">
        <v>157</v>
      </c>
      <c r="B311" s="29" t="s">
        <v>468</v>
      </c>
      <c r="C311" s="36" t="s">
        <v>464</v>
      </c>
      <c r="D311" s="30" t="s">
        <v>469</v>
      </c>
      <c r="E311" s="29" t="s">
        <v>27</v>
      </c>
      <c r="F311" s="44">
        <v>6</v>
      </c>
      <c r="G311" s="44">
        <f>(5*20)+6.25</f>
        <v>106.25</v>
      </c>
      <c r="H311" s="44"/>
      <c r="I311" s="44"/>
      <c r="J311" s="44"/>
      <c r="K311" s="44"/>
      <c r="L311" s="45">
        <f>G311*F311</f>
        <v>637.5</v>
      </c>
    </row>
    <row r="312" spans="1:12" x14ac:dyDescent="0.25">
      <c r="A312" s="28"/>
      <c r="B312" s="29"/>
      <c r="C312" s="36"/>
      <c r="D312" s="30"/>
      <c r="E312" s="29"/>
      <c r="F312" s="44"/>
      <c r="G312" s="44"/>
      <c r="H312" s="44"/>
      <c r="I312" s="44"/>
      <c r="J312" s="44"/>
      <c r="K312" s="44"/>
      <c r="L312" s="45"/>
    </row>
    <row r="313" spans="1:12" ht="56.25" x14ac:dyDescent="0.25">
      <c r="A313" s="28" t="s">
        <v>158</v>
      </c>
      <c r="B313" s="29" t="s">
        <v>37</v>
      </c>
      <c r="C313" s="36" t="s">
        <v>369</v>
      </c>
      <c r="D313" s="30" t="s">
        <v>38</v>
      </c>
      <c r="E313" s="29" t="s">
        <v>33</v>
      </c>
      <c r="F313" s="44"/>
      <c r="G313" s="44">
        <v>106.25</v>
      </c>
      <c r="H313" s="44"/>
      <c r="I313" s="44">
        <v>2</v>
      </c>
      <c r="J313" s="44"/>
      <c r="K313" s="44"/>
      <c r="L313" s="45">
        <f>G313*I313</f>
        <v>212.5</v>
      </c>
    </row>
    <row r="314" spans="1:12" x14ac:dyDescent="0.25">
      <c r="A314" s="28"/>
      <c r="B314" s="29"/>
      <c r="C314" s="36"/>
      <c r="D314" s="30"/>
      <c r="E314" s="29"/>
      <c r="F314" s="44"/>
      <c r="G314" s="44"/>
      <c r="H314" s="44"/>
      <c r="I314" s="44"/>
      <c r="J314" s="44"/>
      <c r="K314" s="44"/>
      <c r="L314" s="54"/>
    </row>
    <row r="315" spans="1:12" ht="33.75" x14ac:dyDescent="0.25">
      <c r="A315" s="28" t="s">
        <v>159</v>
      </c>
      <c r="B315" s="29" t="s">
        <v>40</v>
      </c>
      <c r="C315" s="36" t="s">
        <v>465</v>
      </c>
      <c r="D315" s="30" t="s">
        <v>41</v>
      </c>
      <c r="E315" s="29" t="s">
        <v>33</v>
      </c>
      <c r="F315" s="44"/>
      <c r="G315" s="44">
        <v>106.25</v>
      </c>
      <c r="H315" s="44"/>
      <c r="I315" s="44">
        <v>2</v>
      </c>
      <c r="J315" s="44"/>
      <c r="K315" s="44"/>
      <c r="L315" s="45">
        <f>G315*I315</f>
        <v>212.5</v>
      </c>
    </row>
    <row r="316" spans="1:12" x14ac:dyDescent="0.25">
      <c r="A316" s="28"/>
      <c r="B316" s="29"/>
      <c r="C316" s="36"/>
      <c r="D316" s="30"/>
      <c r="E316" s="29"/>
      <c r="F316" s="44"/>
      <c r="G316" s="44"/>
      <c r="H316" s="44"/>
      <c r="I316" s="44"/>
      <c r="J316" s="44"/>
      <c r="K316" s="44"/>
      <c r="L316" s="45"/>
    </row>
    <row r="317" spans="1:12" ht="33.75" x14ac:dyDescent="0.25">
      <c r="A317" s="28" t="s">
        <v>160</v>
      </c>
      <c r="B317" s="29" t="s">
        <v>43</v>
      </c>
      <c r="C317" s="36" t="s">
        <v>19</v>
      </c>
      <c r="D317" s="30" t="s">
        <v>44</v>
      </c>
      <c r="E317" s="29" t="s">
        <v>27</v>
      </c>
      <c r="F317" s="44">
        <v>6</v>
      </c>
      <c r="G317" s="44">
        <v>106.25</v>
      </c>
      <c r="H317" s="44"/>
      <c r="I317" s="44"/>
      <c r="J317" s="44"/>
      <c r="K317" s="44"/>
      <c r="L317" s="45">
        <f>G317*F317</f>
        <v>637.5</v>
      </c>
    </row>
    <row r="318" spans="1:12" x14ac:dyDescent="0.25">
      <c r="A318" s="56"/>
      <c r="B318" s="57"/>
      <c r="C318" s="57"/>
      <c r="D318" s="57"/>
      <c r="E318" s="57"/>
      <c r="F318" s="57"/>
      <c r="G318" s="57"/>
      <c r="H318" s="57"/>
      <c r="I318" s="57"/>
      <c r="J318" s="57"/>
      <c r="K318" s="57"/>
      <c r="L318" s="58"/>
    </row>
    <row r="319" spans="1:12" x14ac:dyDescent="0.25">
      <c r="A319" s="38" t="s">
        <v>162</v>
      </c>
      <c r="B319" s="52"/>
      <c r="C319" s="53"/>
      <c r="D319" s="41" t="s">
        <v>439</v>
      </c>
      <c r="E319" s="52"/>
      <c r="F319" s="42"/>
      <c r="G319" s="42"/>
      <c r="H319" s="42"/>
      <c r="I319" s="42"/>
      <c r="J319" s="42"/>
      <c r="K319" s="42"/>
      <c r="L319" s="43"/>
    </row>
    <row r="320" spans="1:12" ht="22.5" x14ac:dyDescent="0.25">
      <c r="A320" s="28" t="s">
        <v>163</v>
      </c>
      <c r="B320" s="29" t="s">
        <v>468</v>
      </c>
      <c r="C320" s="36" t="s">
        <v>464</v>
      </c>
      <c r="D320" s="30" t="s">
        <v>469</v>
      </c>
      <c r="E320" s="29" t="s">
        <v>27</v>
      </c>
      <c r="F320" s="44">
        <v>6</v>
      </c>
      <c r="G320" s="44">
        <f>(5*20)+17.52</f>
        <v>117.52</v>
      </c>
      <c r="H320" s="44"/>
      <c r="I320" s="44"/>
      <c r="J320" s="44"/>
      <c r="K320" s="44"/>
      <c r="L320" s="45">
        <f>G320*F320</f>
        <v>705.12</v>
      </c>
    </row>
    <row r="321" spans="1:12" x14ac:dyDescent="0.25">
      <c r="A321" s="28"/>
      <c r="B321" s="29"/>
      <c r="C321" s="36"/>
      <c r="D321" s="30"/>
      <c r="E321" s="29"/>
      <c r="F321" s="44"/>
      <c r="G321" s="44"/>
      <c r="H321" s="44"/>
      <c r="I321" s="44"/>
      <c r="J321" s="44"/>
      <c r="K321" s="44"/>
      <c r="L321" s="45"/>
    </row>
    <row r="322" spans="1:12" ht="56.25" x14ac:dyDescent="0.25">
      <c r="A322" s="28" t="s">
        <v>164</v>
      </c>
      <c r="B322" s="29" t="s">
        <v>37</v>
      </c>
      <c r="C322" s="36" t="s">
        <v>369</v>
      </c>
      <c r="D322" s="30" t="s">
        <v>38</v>
      </c>
      <c r="E322" s="29" t="s">
        <v>33</v>
      </c>
      <c r="F322" s="44"/>
      <c r="G322" s="44">
        <v>117.52</v>
      </c>
      <c r="H322" s="44"/>
      <c r="I322" s="44">
        <v>2</v>
      </c>
      <c r="J322" s="44"/>
      <c r="K322" s="44"/>
      <c r="L322" s="45">
        <f>G322*I322</f>
        <v>235.04</v>
      </c>
    </row>
    <row r="323" spans="1:12" x14ac:dyDescent="0.25">
      <c r="A323" s="28"/>
      <c r="B323" s="29"/>
      <c r="C323" s="36"/>
      <c r="D323" s="30"/>
      <c r="E323" s="29"/>
      <c r="F323" s="44"/>
      <c r="G323" s="44"/>
      <c r="H323" s="44"/>
      <c r="I323" s="44"/>
      <c r="J323" s="44"/>
      <c r="K323" s="44"/>
      <c r="L323" s="54"/>
    </row>
    <row r="324" spans="1:12" ht="33.75" x14ac:dyDescent="0.25">
      <c r="A324" s="28" t="s">
        <v>165</v>
      </c>
      <c r="B324" s="29" t="s">
        <v>40</v>
      </c>
      <c r="C324" s="36" t="s">
        <v>465</v>
      </c>
      <c r="D324" s="30" t="s">
        <v>41</v>
      </c>
      <c r="E324" s="29" t="s">
        <v>33</v>
      </c>
      <c r="F324" s="44"/>
      <c r="G324" s="44">
        <v>117.52</v>
      </c>
      <c r="H324" s="44"/>
      <c r="I324" s="44">
        <v>2</v>
      </c>
      <c r="J324" s="44"/>
      <c r="K324" s="44"/>
      <c r="L324" s="45">
        <f>G324*I324</f>
        <v>235.04</v>
      </c>
    </row>
    <row r="325" spans="1:12" x14ac:dyDescent="0.25">
      <c r="A325" s="28"/>
      <c r="B325" s="29"/>
      <c r="C325" s="36"/>
      <c r="D325" s="30"/>
      <c r="E325" s="29"/>
      <c r="F325" s="44"/>
      <c r="G325" s="44"/>
      <c r="H325" s="44"/>
      <c r="I325" s="44"/>
      <c r="J325" s="44"/>
      <c r="K325" s="44"/>
      <c r="L325" s="45"/>
    </row>
    <row r="326" spans="1:12" ht="33.75" x14ac:dyDescent="0.25">
      <c r="A326" s="28" t="s">
        <v>166</v>
      </c>
      <c r="B326" s="29" t="s">
        <v>43</v>
      </c>
      <c r="C326" s="36" t="s">
        <v>19</v>
      </c>
      <c r="D326" s="30" t="s">
        <v>44</v>
      </c>
      <c r="E326" s="29" t="s">
        <v>27</v>
      </c>
      <c r="F326" s="44">
        <v>6</v>
      </c>
      <c r="G326" s="44">
        <v>117.52</v>
      </c>
      <c r="H326" s="44"/>
      <c r="I326" s="44"/>
      <c r="J326" s="44"/>
      <c r="K326" s="44"/>
      <c r="L326" s="45">
        <f>G326*F326</f>
        <v>705.12</v>
      </c>
    </row>
    <row r="327" spans="1:12" x14ac:dyDescent="0.25">
      <c r="A327" s="56"/>
      <c r="B327" s="57"/>
      <c r="C327" s="57"/>
      <c r="D327" s="57"/>
      <c r="E327" s="57"/>
      <c r="F327" s="57"/>
      <c r="G327" s="57"/>
      <c r="H327" s="57"/>
      <c r="I327" s="57"/>
      <c r="J327" s="57"/>
      <c r="K327" s="57"/>
      <c r="L327" s="58"/>
    </row>
    <row r="328" spans="1:12" x14ac:dyDescent="0.25">
      <c r="A328" s="38" t="s">
        <v>168</v>
      </c>
      <c r="B328" s="52"/>
      <c r="C328" s="53"/>
      <c r="D328" s="41" t="s">
        <v>173</v>
      </c>
      <c r="E328" s="52"/>
      <c r="F328" s="42"/>
      <c r="G328" s="42"/>
      <c r="H328" s="42"/>
      <c r="I328" s="42"/>
      <c r="J328" s="42"/>
      <c r="K328" s="42"/>
      <c r="L328" s="43"/>
    </row>
    <row r="329" spans="1:12" ht="22.5" x14ac:dyDescent="0.25">
      <c r="A329" s="28" t="s">
        <v>169</v>
      </c>
      <c r="B329" s="29" t="s">
        <v>468</v>
      </c>
      <c r="C329" s="36" t="s">
        <v>464</v>
      </c>
      <c r="D329" s="30" t="s">
        <v>469</v>
      </c>
      <c r="E329" s="29" t="s">
        <v>27</v>
      </c>
      <c r="F329" s="44">
        <v>6</v>
      </c>
      <c r="G329" s="44">
        <f>(14*20)+3.12</f>
        <v>283.12</v>
      </c>
      <c r="H329" s="44"/>
      <c r="I329" s="44"/>
      <c r="J329" s="44"/>
      <c r="K329" s="44"/>
      <c r="L329" s="45">
        <f>G329*F329</f>
        <v>1698.72</v>
      </c>
    </row>
    <row r="330" spans="1:12" x14ac:dyDescent="0.25">
      <c r="A330" s="28"/>
      <c r="B330" s="29"/>
      <c r="C330" s="36"/>
      <c r="D330" s="30"/>
      <c r="E330" s="29"/>
      <c r="F330" s="44"/>
      <c r="G330" s="44"/>
      <c r="H330" s="44"/>
      <c r="I330" s="44"/>
      <c r="J330" s="44"/>
      <c r="K330" s="44"/>
      <c r="L330" s="45"/>
    </row>
    <row r="331" spans="1:12" ht="56.25" x14ac:dyDescent="0.25">
      <c r="A331" s="28" t="s">
        <v>170</v>
      </c>
      <c r="B331" s="29" t="s">
        <v>37</v>
      </c>
      <c r="C331" s="36" t="s">
        <v>369</v>
      </c>
      <c r="D331" s="30" t="s">
        <v>38</v>
      </c>
      <c r="E331" s="29" t="s">
        <v>33</v>
      </c>
      <c r="F331" s="44"/>
      <c r="G331" s="44">
        <v>283.12</v>
      </c>
      <c r="H331" s="44"/>
      <c r="I331" s="44">
        <v>2</v>
      </c>
      <c r="J331" s="44"/>
      <c r="K331" s="44"/>
      <c r="L331" s="45">
        <f>G331*I331</f>
        <v>566.24</v>
      </c>
    </row>
    <row r="332" spans="1:12" x14ac:dyDescent="0.25">
      <c r="A332" s="28"/>
      <c r="B332" s="29"/>
      <c r="C332" s="36"/>
      <c r="D332" s="30"/>
      <c r="E332" s="29"/>
      <c r="F332" s="44"/>
      <c r="G332" s="44"/>
      <c r="H332" s="44"/>
      <c r="I332" s="44"/>
      <c r="J332" s="44"/>
      <c r="K332" s="44"/>
      <c r="L332" s="54"/>
    </row>
    <row r="333" spans="1:12" ht="33.75" x14ac:dyDescent="0.25">
      <c r="A333" s="28" t="s">
        <v>171</v>
      </c>
      <c r="B333" s="29" t="s">
        <v>40</v>
      </c>
      <c r="C333" s="36" t="s">
        <v>465</v>
      </c>
      <c r="D333" s="30" t="s">
        <v>41</v>
      </c>
      <c r="E333" s="29" t="s">
        <v>33</v>
      </c>
      <c r="F333" s="44"/>
      <c r="G333" s="44">
        <v>283.12</v>
      </c>
      <c r="H333" s="44"/>
      <c r="I333" s="44">
        <v>2</v>
      </c>
      <c r="J333" s="44"/>
      <c r="K333" s="44"/>
      <c r="L333" s="45">
        <f>G333*I333</f>
        <v>566.24</v>
      </c>
    </row>
    <row r="334" spans="1:12" x14ac:dyDescent="0.25">
      <c r="A334" s="28"/>
      <c r="B334" s="29"/>
      <c r="C334" s="36"/>
      <c r="D334" s="30"/>
      <c r="E334" s="29"/>
      <c r="F334" s="44"/>
      <c r="G334" s="44"/>
      <c r="H334" s="44"/>
      <c r="I334" s="44"/>
      <c r="J334" s="44"/>
      <c r="K334" s="44"/>
      <c r="L334" s="45"/>
    </row>
    <row r="335" spans="1:12" ht="33.75" x14ac:dyDescent="0.25">
      <c r="A335" s="28" t="s">
        <v>172</v>
      </c>
      <c r="B335" s="29" t="s">
        <v>43</v>
      </c>
      <c r="C335" s="36" t="s">
        <v>19</v>
      </c>
      <c r="D335" s="30" t="s">
        <v>44</v>
      </c>
      <c r="E335" s="29" t="s">
        <v>27</v>
      </c>
      <c r="F335" s="44">
        <v>6</v>
      </c>
      <c r="G335" s="44">
        <v>283.12</v>
      </c>
      <c r="H335" s="44"/>
      <c r="I335" s="44"/>
      <c r="J335" s="44"/>
      <c r="K335" s="44"/>
      <c r="L335" s="45">
        <f>G335*F335</f>
        <v>1698.72</v>
      </c>
    </row>
    <row r="336" spans="1:12" x14ac:dyDescent="0.25">
      <c r="A336" s="56"/>
      <c r="B336" s="57"/>
      <c r="C336" s="57"/>
      <c r="D336" s="57"/>
      <c r="E336" s="57"/>
      <c r="F336" s="57"/>
      <c r="G336" s="57"/>
      <c r="H336" s="57"/>
      <c r="I336" s="57"/>
      <c r="J336" s="57"/>
      <c r="K336" s="57"/>
      <c r="L336" s="58"/>
    </row>
    <row r="337" spans="1:12" x14ac:dyDescent="0.25">
      <c r="A337" s="46" t="s">
        <v>174</v>
      </c>
      <c r="B337" s="47"/>
      <c r="C337" s="48"/>
      <c r="D337" s="49" t="s">
        <v>175</v>
      </c>
      <c r="E337" s="47"/>
      <c r="F337" s="50"/>
      <c r="G337" s="50"/>
      <c r="H337" s="50"/>
      <c r="I337" s="50"/>
      <c r="J337" s="50"/>
      <c r="K337" s="50"/>
      <c r="L337" s="51"/>
    </row>
    <row r="338" spans="1:12" x14ac:dyDescent="0.25">
      <c r="A338" s="38" t="s">
        <v>176</v>
      </c>
      <c r="B338" s="52"/>
      <c r="C338" s="53"/>
      <c r="D338" s="41" t="s">
        <v>181</v>
      </c>
      <c r="E338" s="52"/>
      <c r="F338" s="42"/>
      <c r="G338" s="42"/>
      <c r="H338" s="42"/>
      <c r="I338" s="42"/>
      <c r="J338" s="42"/>
      <c r="K338" s="42"/>
      <c r="L338" s="43"/>
    </row>
    <row r="339" spans="1:12" ht="22.5" x14ac:dyDescent="0.25">
      <c r="A339" s="28" t="s">
        <v>177</v>
      </c>
      <c r="B339" s="29" t="s">
        <v>468</v>
      </c>
      <c r="C339" s="36" t="s">
        <v>464</v>
      </c>
      <c r="D339" s="30" t="s">
        <v>469</v>
      </c>
      <c r="E339" s="29" t="s">
        <v>27</v>
      </c>
      <c r="F339" s="44">
        <v>6</v>
      </c>
      <c r="G339" s="44">
        <f>(16*20)+0</f>
        <v>320</v>
      </c>
      <c r="H339" s="44"/>
      <c r="I339" s="44"/>
      <c r="J339" s="44"/>
      <c r="K339" s="44"/>
      <c r="L339" s="45">
        <f>G339*F339</f>
        <v>1920</v>
      </c>
    </row>
    <row r="340" spans="1:12" x14ac:dyDescent="0.25">
      <c r="A340" s="28"/>
      <c r="B340" s="29"/>
      <c r="C340" s="36"/>
      <c r="D340" s="30"/>
      <c r="E340" s="29"/>
      <c r="F340" s="44"/>
      <c r="G340" s="44"/>
      <c r="H340" s="44"/>
      <c r="I340" s="44"/>
      <c r="J340" s="44"/>
      <c r="K340" s="44"/>
      <c r="L340" s="45"/>
    </row>
    <row r="341" spans="1:12" ht="56.25" x14ac:dyDescent="0.25">
      <c r="A341" s="28" t="s">
        <v>178</v>
      </c>
      <c r="B341" s="29" t="s">
        <v>37</v>
      </c>
      <c r="C341" s="36" t="s">
        <v>369</v>
      </c>
      <c r="D341" s="30" t="s">
        <v>38</v>
      </c>
      <c r="E341" s="29" t="s">
        <v>33</v>
      </c>
      <c r="F341" s="44"/>
      <c r="G341" s="44">
        <v>320</v>
      </c>
      <c r="H341" s="44"/>
      <c r="I341" s="44">
        <v>2</v>
      </c>
      <c r="J341" s="44"/>
      <c r="K341" s="44"/>
      <c r="L341" s="45">
        <f>G341*I341</f>
        <v>640</v>
      </c>
    </row>
    <row r="342" spans="1:12" x14ac:dyDescent="0.25">
      <c r="A342" s="28"/>
      <c r="B342" s="29"/>
      <c r="C342" s="36"/>
      <c r="D342" s="30"/>
      <c r="E342" s="29"/>
      <c r="F342" s="44"/>
      <c r="G342" s="44"/>
      <c r="H342" s="44"/>
      <c r="I342" s="44"/>
      <c r="J342" s="44"/>
      <c r="K342" s="44"/>
      <c r="L342" s="54"/>
    </row>
    <row r="343" spans="1:12" ht="33.75" x14ac:dyDescent="0.25">
      <c r="A343" s="28" t="s">
        <v>179</v>
      </c>
      <c r="B343" s="29" t="s">
        <v>40</v>
      </c>
      <c r="C343" s="36" t="s">
        <v>465</v>
      </c>
      <c r="D343" s="30" t="s">
        <v>41</v>
      </c>
      <c r="E343" s="29" t="s">
        <v>33</v>
      </c>
      <c r="F343" s="44"/>
      <c r="G343" s="44">
        <v>320</v>
      </c>
      <c r="H343" s="44"/>
      <c r="I343" s="44">
        <v>2</v>
      </c>
      <c r="J343" s="44"/>
      <c r="K343" s="44"/>
      <c r="L343" s="45">
        <f>G343*I343</f>
        <v>640</v>
      </c>
    </row>
    <row r="344" spans="1:12" x14ac:dyDescent="0.25">
      <c r="A344" s="28"/>
      <c r="B344" s="29"/>
      <c r="C344" s="36"/>
      <c r="D344" s="30"/>
      <c r="E344" s="29"/>
      <c r="F344" s="44"/>
      <c r="G344" s="44"/>
      <c r="H344" s="44"/>
      <c r="I344" s="44"/>
      <c r="J344" s="44"/>
      <c r="K344" s="44"/>
      <c r="L344" s="45"/>
    </row>
    <row r="345" spans="1:12" ht="33.75" x14ac:dyDescent="0.25">
      <c r="A345" s="28" t="s">
        <v>180</v>
      </c>
      <c r="B345" s="29" t="s">
        <v>43</v>
      </c>
      <c r="C345" s="36" t="s">
        <v>19</v>
      </c>
      <c r="D345" s="30" t="s">
        <v>44</v>
      </c>
      <c r="E345" s="29" t="s">
        <v>27</v>
      </c>
      <c r="F345" s="44">
        <v>6</v>
      </c>
      <c r="G345" s="44">
        <v>320</v>
      </c>
      <c r="H345" s="44"/>
      <c r="I345" s="44"/>
      <c r="J345" s="44"/>
      <c r="K345" s="44"/>
      <c r="L345" s="45">
        <f>G345*F345</f>
        <v>1920</v>
      </c>
    </row>
    <row r="346" spans="1:12" x14ac:dyDescent="0.25">
      <c r="A346" s="56"/>
      <c r="B346" s="57"/>
      <c r="C346" s="57"/>
      <c r="D346" s="57"/>
      <c r="E346" s="57"/>
      <c r="F346" s="57"/>
      <c r="G346" s="57"/>
      <c r="H346" s="57"/>
      <c r="I346" s="57"/>
      <c r="J346" s="57"/>
      <c r="K346" s="57"/>
      <c r="L346" s="58"/>
    </row>
    <row r="347" spans="1:12" ht="22.5" x14ac:dyDescent="0.25">
      <c r="A347" s="38" t="s">
        <v>182</v>
      </c>
      <c r="B347" s="52"/>
      <c r="C347" s="53"/>
      <c r="D347" s="41" t="s">
        <v>440</v>
      </c>
      <c r="E347" s="52"/>
      <c r="F347" s="42"/>
      <c r="G347" s="42"/>
      <c r="H347" s="42"/>
      <c r="I347" s="42"/>
      <c r="J347" s="42"/>
      <c r="K347" s="42"/>
      <c r="L347" s="43"/>
    </row>
    <row r="348" spans="1:12" ht="22.5" x14ac:dyDescent="0.25">
      <c r="A348" s="28" t="s">
        <v>183</v>
      </c>
      <c r="B348" s="29" t="s">
        <v>468</v>
      </c>
      <c r="C348" s="36" t="s">
        <v>464</v>
      </c>
      <c r="D348" s="30" t="s">
        <v>469</v>
      </c>
      <c r="E348" s="29" t="s">
        <v>27</v>
      </c>
      <c r="F348" s="44">
        <v>6</v>
      </c>
      <c r="G348" s="44">
        <f>(4*20)+14.46</f>
        <v>94.460000000000008</v>
      </c>
      <c r="H348" s="44"/>
      <c r="I348" s="44"/>
      <c r="J348" s="44"/>
      <c r="K348" s="44"/>
      <c r="L348" s="45">
        <f>G348*F348</f>
        <v>566.76</v>
      </c>
    </row>
    <row r="349" spans="1:12" x14ac:dyDescent="0.25">
      <c r="A349" s="28"/>
      <c r="B349" s="29"/>
      <c r="C349" s="36"/>
      <c r="D349" s="30"/>
      <c r="E349" s="29"/>
      <c r="F349" s="44"/>
      <c r="G349" s="44"/>
      <c r="H349" s="44"/>
      <c r="I349" s="44"/>
      <c r="J349" s="44"/>
      <c r="K349" s="44"/>
      <c r="L349" s="45"/>
    </row>
    <row r="350" spans="1:12" ht="56.25" x14ac:dyDescent="0.25">
      <c r="A350" s="28" t="s">
        <v>184</v>
      </c>
      <c r="B350" s="29" t="s">
        <v>37</v>
      </c>
      <c r="C350" s="36" t="s">
        <v>369</v>
      </c>
      <c r="D350" s="30" t="s">
        <v>38</v>
      </c>
      <c r="E350" s="29" t="s">
        <v>33</v>
      </c>
      <c r="F350" s="44"/>
      <c r="G350" s="44">
        <v>94.46</v>
      </c>
      <c r="H350" s="44"/>
      <c r="I350" s="44">
        <v>2</v>
      </c>
      <c r="J350" s="44"/>
      <c r="K350" s="44"/>
      <c r="L350" s="45">
        <f>G350*I350</f>
        <v>188.92</v>
      </c>
    </row>
    <row r="351" spans="1:12" x14ac:dyDescent="0.25">
      <c r="A351" s="28"/>
      <c r="B351" s="29"/>
      <c r="C351" s="36"/>
      <c r="D351" s="30"/>
      <c r="E351" s="29"/>
      <c r="F351" s="44"/>
      <c r="G351" s="44"/>
      <c r="H351" s="44"/>
      <c r="I351" s="44"/>
      <c r="J351" s="44"/>
      <c r="K351" s="44"/>
      <c r="L351" s="54"/>
    </row>
    <row r="352" spans="1:12" ht="33.75" x14ac:dyDescent="0.25">
      <c r="A352" s="28" t="s">
        <v>185</v>
      </c>
      <c r="B352" s="29" t="s">
        <v>40</v>
      </c>
      <c r="C352" s="36" t="s">
        <v>465</v>
      </c>
      <c r="D352" s="30" t="s">
        <v>41</v>
      </c>
      <c r="E352" s="29" t="s">
        <v>33</v>
      </c>
      <c r="F352" s="44"/>
      <c r="G352" s="44">
        <v>94.46</v>
      </c>
      <c r="H352" s="44"/>
      <c r="I352" s="44">
        <v>2</v>
      </c>
      <c r="J352" s="44"/>
      <c r="K352" s="44"/>
      <c r="L352" s="45">
        <f>G352*I352</f>
        <v>188.92</v>
      </c>
    </row>
    <row r="353" spans="1:12" x14ac:dyDescent="0.25">
      <c r="A353" s="28"/>
      <c r="B353" s="29"/>
      <c r="C353" s="36"/>
      <c r="D353" s="30"/>
      <c r="E353" s="29"/>
      <c r="F353" s="44"/>
      <c r="G353" s="44"/>
      <c r="H353" s="44"/>
      <c r="I353" s="44"/>
      <c r="J353" s="44"/>
      <c r="K353" s="44"/>
      <c r="L353" s="45"/>
    </row>
    <row r="354" spans="1:12" ht="33.75" x14ac:dyDescent="0.25">
      <c r="A354" s="28" t="s">
        <v>186</v>
      </c>
      <c r="B354" s="29" t="s">
        <v>43</v>
      </c>
      <c r="C354" s="36" t="s">
        <v>19</v>
      </c>
      <c r="D354" s="30" t="s">
        <v>44</v>
      </c>
      <c r="E354" s="29" t="s">
        <v>27</v>
      </c>
      <c r="F354" s="44">
        <v>6</v>
      </c>
      <c r="G354" s="44">
        <v>94.46</v>
      </c>
      <c r="H354" s="44"/>
      <c r="I354" s="44"/>
      <c r="J354" s="44"/>
      <c r="K354" s="44"/>
      <c r="L354" s="45">
        <f>G354*F354</f>
        <v>566.76</v>
      </c>
    </row>
    <row r="355" spans="1:12" x14ac:dyDescent="0.25">
      <c r="A355" s="56"/>
      <c r="B355" s="57"/>
      <c r="C355" s="57"/>
      <c r="D355" s="57"/>
      <c r="E355" s="57"/>
      <c r="F355" s="57"/>
      <c r="G355" s="57"/>
      <c r="H355" s="57"/>
      <c r="I355" s="57"/>
      <c r="J355" s="57"/>
      <c r="K355" s="57"/>
      <c r="L355" s="58"/>
    </row>
    <row r="356" spans="1:12" x14ac:dyDescent="0.25">
      <c r="A356" s="38" t="s">
        <v>187</v>
      </c>
      <c r="B356" s="52"/>
      <c r="C356" s="53"/>
      <c r="D356" s="41" t="s">
        <v>192</v>
      </c>
      <c r="E356" s="52"/>
      <c r="F356" s="42"/>
      <c r="G356" s="42"/>
      <c r="H356" s="42"/>
      <c r="I356" s="42"/>
      <c r="J356" s="42"/>
      <c r="K356" s="42"/>
      <c r="L356" s="43"/>
    </row>
    <row r="357" spans="1:12" ht="22.5" x14ac:dyDescent="0.25">
      <c r="A357" s="28" t="s">
        <v>188</v>
      </c>
      <c r="B357" s="29" t="s">
        <v>468</v>
      </c>
      <c r="C357" s="36" t="s">
        <v>464</v>
      </c>
      <c r="D357" s="30" t="s">
        <v>469</v>
      </c>
      <c r="E357" s="29" t="s">
        <v>27</v>
      </c>
      <c r="F357" s="44">
        <v>6</v>
      </c>
      <c r="G357" s="44">
        <f>(5*20)+13.57</f>
        <v>113.57</v>
      </c>
      <c r="H357" s="44"/>
      <c r="I357" s="44"/>
      <c r="J357" s="44"/>
      <c r="K357" s="44"/>
      <c r="L357" s="45">
        <f>G357*F357</f>
        <v>681.42</v>
      </c>
    </row>
    <row r="358" spans="1:12" x14ac:dyDescent="0.25">
      <c r="A358" s="28"/>
      <c r="B358" s="29"/>
      <c r="C358" s="36"/>
      <c r="D358" s="30"/>
      <c r="E358" s="29"/>
      <c r="F358" s="44"/>
      <c r="G358" s="44"/>
      <c r="H358" s="44"/>
      <c r="I358" s="44"/>
      <c r="J358" s="44"/>
      <c r="K358" s="44"/>
      <c r="L358" s="45"/>
    </row>
    <row r="359" spans="1:12" ht="56.25" x14ac:dyDescent="0.25">
      <c r="A359" s="28" t="s">
        <v>189</v>
      </c>
      <c r="B359" s="29" t="s">
        <v>37</v>
      </c>
      <c r="C359" s="36" t="s">
        <v>369</v>
      </c>
      <c r="D359" s="30" t="s">
        <v>38</v>
      </c>
      <c r="E359" s="29" t="s">
        <v>33</v>
      </c>
      <c r="F359" s="44"/>
      <c r="G359" s="44">
        <v>113.57</v>
      </c>
      <c r="H359" s="44"/>
      <c r="I359" s="44">
        <v>2</v>
      </c>
      <c r="J359" s="44"/>
      <c r="K359" s="44"/>
      <c r="L359" s="45">
        <f>G359*I359</f>
        <v>227.14</v>
      </c>
    </row>
    <row r="360" spans="1:12" x14ac:dyDescent="0.25">
      <c r="A360" s="28"/>
      <c r="B360" s="29"/>
      <c r="C360" s="36"/>
      <c r="D360" s="30"/>
      <c r="E360" s="29"/>
      <c r="F360" s="44"/>
      <c r="G360" s="44"/>
      <c r="H360" s="44"/>
      <c r="I360" s="44"/>
      <c r="J360" s="44"/>
      <c r="K360" s="44"/>
      <c r="L360" s="54"/>
    </row>
    <row r="361" spans="1:12" ht="33.75" x14ac:dyDescent="0.25">
      <c r="A361" s="28" t="s">
        <v>190</v>
      </c>
      <c r="B361" s="29" t="s">
        <v>40</v>
      </c>
      <c r="C361" s="36" t="s">
        <v>465</v>
      </c>
      <c r="D361" s="30" t="s">
        <v>41</v>
      </c>
      <c r="E361" s="29" t="s">
        <v>33</v>
      </c>
      <c r="F361" s="44"/>
      <c r="G361" s="44">
        <v>113.57</v>
      </c>
      <c r="H361" s="44"/>
      <c r="I361" s="44">
        <v>2</v>
      </c>
      <c r="J361" s="44"/>
      <c r="K361" s="44"/>
      <c r="L361" s="45">
        <f>G361*I361</f>
        <v>227.14</v>
      </c>
    </row>
    <row r="362" spans="1:12" x14ac:dyDescent="0.25">
      <c r="A362" s="28"/>
      <c r="B362" s="29"/>
      <c r="C362" s="36"/>
      <c r="D362" s="30"/>
      <c r="E362" s="29"/>
      <c r="F362" s="44"/>
      <c r="G362" s="44"/>
      <c r="H362" s="44"/>
      <c r="I362" s="44"/>
      <c r="J362" s="44"/>
      <c r="K362" s="44"/>
      <c r="L362" s="45"/>
    </row>
    <row r="363" spans="1:12" ht="33.75" x14ac:dyDescent="0.25">
      <c r="A363" s="28" t="s">
        <v>191</v>
      </c>
      <c r="B363" s="29" t="s">
        <v>43</v>
      </c>
      <c r="C363" s="36" t="s">
        <v>19</v>
      </c>
      <c r="D363" s="30" t="s">
        <v>44</v>
      </c>
      <c r="E363" s="29" t="s">
        <v>27</v>
      </c>
      <c r="F363" s="44">
        <v>6</v>
      </c>
      <c r="G363" s="44">
        <v>113.57</v>
      </c>
      <c r="H363" s="44"/>
      <c r="I363" s="44"/>
      <c r="J363" s="44"/>
      <c r="K363" s="44"/>
      <c r="L363" s="45">
        <f>G363*F363</f>
        <v>681.42</v>
      </c>
    </row>
    <row r="364" spans="1:12" x14ac:dyDescent="0.25">
      <c r="A364" s="56"/>
      <c r="B364" s="57"/>
      <c r="C364" s="57"/>
      <c r="D364" s="57"/>
      <c r="E364" s="57"/>
      <c r="F364" s="57"/>
      <c r="G364" s="57"/>
      <c r="H364" s="57"/>
      <c r="I364" s="57"/>
      <c r="J364" s="57"/>
      <c r="K364" s="57"/>
      <c r="L364" s="58"/>
    </row>
    <row r="365" spans="1:12" x14ac:dyDescent="0.25">
      <c r="A365" s="38" t="s">
        <v>193</v>
      </c>
      <c r="B365" s="52"/>
      <c r="C365" s="53"/>
      <c r="D365" s="41" t="s">
        <v>198</v>
      </c>
      <c r="E365" s="52"/>
      <c r="F365" s="42"/>
      <c r="G365" s="42"/>
      <c r="H365" s="42"/>
      <c r="I365" s="42"/>
      <c r="J365" s="42"/>
      <c r="K365" s="42"/>
      <c r="L365" s="43"/>
    </row>
    <row r="366" spans="1:12" ht="22.5" x14ac:dyDescent="0.25">
      <c r="A366" s="28" t="s">
        <v>194</v>
      </c>
      <c r="B366" s="29" t="s">
        <v>468</v>
      </c>
      <c r="C366" s="36" t="s">
        <v>464</v>
      </c>
      <c r="D366" s="30" t="s">
        <v>469</v>
      </c>
      <c r="E366" s="29" t="s">
        <v>27</v>
      </c>
      <c r="F366" s="44">
        <v>6</v>
      </c>
      <c r="G366" s="44">
        <f>(6*20)+0.07</f>
        <v>120.07</v>
      </c>
      <c r="H366" s="44"/>
      <c r="I366" s="44"/>
      <c r="J366" s="44"/>
      <c r="K366" s="44"/>
      <c r="L366" s="45">
        <f>G366*F366</f>
        <v>720.42</v>
      </c>
    </row>
    <row r="367" spans="1:12" x14ac:dyDescent="0.25">
      <c r="A367" s="28"/>
      <c r="B367" s="29"/>
      <c r="C367" s="36"/>
      <c r="D367" s="30"/>
      <c r="E367" s="29"/>
      <c r="F367" s="44"/>
      <c r="G367" s="44"/>
      <c r="H367" s="44"/>
      <c r="I367" s="44"/>
      <c r="J367" s="44"/>
      <c r="K367" s="44"/>
      <c r="L367" s="45"/>
    </row>
    <row r="368" spans="1:12" ht="56.25" x14ac:dyDescent="0.25">
      <c r="A368" s="28" t="s">
        <v>195</v>
      </c>
      <c r="B368" s="29" t="s">
        <v>37</v>
      </c>
      <c r="C368" s="36" t="s">
        <v>369</v>
      </c>
      <c r="D368" s="30" t="s">
        <v>38</v>
      </c>
      <c r="E368" s="29" t="s">
        <v>33</v>
      </c>
      <c r="F368" s="44"/>
      <c r="G368" s="44">
        <v>120.07</v>
      </c>
      <c r="H368" s="44"/>
      <c r="I368" s="44">
        <v>2</v>
      </c>
      <c r="J368" s="44"/>
      <c r="K368" s="44"/>
      <c r="L368" s="45">
        <f>G368*I368</f>
        <v>240.14</v>
      </c>
    </row>
    <row r="369" spans="1:12" x14ac:dyDescent="0.25">
      <c r="A369" s="28"/>
      <c r="B369" s="29"/>
      <c r="C369" s="36"/>
      <c r="D369" s="30"/>
      <c r="E369" s="29"/>
      <c r="F369" s="44"/>
      <c r="G369" s="44"/>
      <c r="H369" s="44"/>
      <c r="I369" s="44"/>
      <c r="J369" s="44"/>
      <c r="K369" s="44"/>
      <c r="L369" s="54"/>
    </row>
    <row r="370" spans="1:12" ht="33.75" x14ac:dyDescent="0.25">
      <c r="A370" s="28" t="s">
        <v>196</v>
      </c>
      <c r="B370" s="29" t="s">
        <v>40</v>
      </c>
      <c r="C370" s="36" t="s">
        <v>465</v>
      </c>
      <c r="D370" s="30" t="s">
        <v>41</v>
      </c>
      <c r="E370" s="29" t="s">
        <v>33</v>
      </c>
      <c r="F370" s="44"/>
      <c r="G370" s="44">
        <v>120.07</v>
      </c>
      <c r="H370" s="44"/>
      <c r="I370" s="44">
        <v>2</v>
      </c>
      <c r="J370" s="44"/>
      <c r="K370" s="44"/>
      <c r="L370" s="45">
        <f>G370*I370</f>
        <v>240.14</v>
      </c>
    </row>
    <row r="371" spans="1:12" x14ac:dyDescent="0.25">
      <c r="A371" s="28"/>
      <c r="B371" s="29"/>
      <c r="C371" s="36"/>
      <c r="D371" s="30"/>
      <c r="E371" s="29"/>
      <c r="F371" s="44"/>
      <c r="G371" s="44"/>
      <c r="H371" s="44"/>
      <c r="I371" s="44"/>
      <c r="J371" s="44"/>
      <c r="K371" s="44"/>
      <c r="L371" s="45"/>
    </row>
    <row r="372" spans="1:12" ht="33.75" x14ac:dyDescent="0.25">
      <c r="A372" s="28" t="s">
        <v>197</v>
      </c>
      <c r="B372" s="29" t="s">
        <v>43</v>
      </c>
      <c r="C372" s="36" t="s">
        <v>19</v>
      </c>
      <c r="D372" s="30" t="s">
        <v>44</v>
      </c>
      <c r="E372" s="29" t="s">
        <v>27</v>
      </c>
      <c r="F372" s="44">
        <v>6</v>
      </c>
      <c r="G372" s="44">
        <v>120.07</v>
      </c>
      <c r="H372" s="44"/>
      <c r="I372" s="44"/>
      <c r="J372" s="44"/>
      <c r="K372" s="44"/>
      <c r="L372" s="45">
        <f>G372*F372</f>
        <v>720.42</v>
      </c>
    </row>
    <row r="373" spans="1:12" x14ac:dyDescent="0.25">
      <c r="A373" s="56"/>
      <c r="B373" s="57"/>
      <c r="C373" s="57"/>
      <c r="D373" s="57"/>
      <c r="E373" s="57"/>
      <c r="F373" s="57"/>
      <c r="G373" s="57"/>
      <c r="H373" s="57"/>
      <c r="I373" s="57"/>
      <c r="J373" s="57"/>
      <c r="K373" s="57"/>
      <c r="L373" s="58"/>
    </row>
    <row r="374" spans="1:12" x14ac:dyDescent="0.25">
      <c r="A374" s="38" t="s">
        <v>199</v>
      </c>
      <c r="B374" s="52"/>
      <c r="C374" s="53"/>
      <c r="D374" s="41" t="s">
        <v>204</v>
      </c>
      <c r="E374" s="52"/>
      <c r="F374" s="42"/>
      <c r="G374" s="42"/>
      <c r="H374" s="42"/>
      <c r="I374" s="42"/>
      <c r="J374" s="42"/>
      <c r="K374" s="42"/>
      <c r="L374" s="43"/>
    </row>
    <row r="375" spans="1:12" ht="22.5" x14ac:dyDescent="0.25">
      <c r="A375" s="28" t="s">
        <v>200</v>
      </c>
      <c r="B375" s="29" t="s">
        <v>468</v>
      </c>
      <c r="C375" s="36" t="s">
        <v>464</v>
      </c>
      <c r="D375" s="30" t="s">
        <v>469</v>
      </c>
      <c r="E375" s="29" t="s">
        <v>27</v>
      </c>
      <c r="F375" s="44">
        <v>6</v>
      </c>
      <c r="G375" s="44">
        <f>(6*20)+16.85</f>
        <v>136.85</v>
      </c>
      <c r="H375" s="44"/>
      <c r="I375" s="44"/>
      <c r="J375" s="44"/>
      <c r="K375" s="44"/>
      <c r="L375" s="45">
        <f>G375*F375</f>
        <v>821.09999999999991</v>
      </c>
    </row>
    <row r="376" spans="1:12" x14ac:dyDescent="0.25">
      <c r="A376" s="28"/>
      <c r="B376" s="29"/>
      <c r="C376" s="36"/>
      <c r="D376" s="30"/>
      <c r="E376" s="29"/>
      <c r="F376" s="44"/>
      <c r="G376" s="44"/>
      <c r="H376" s="44"/>
      <c r="I376" s="44"/>
      <c r="J376" s="44"/>
      <c r="K376" s="44"/>
      <c r="L376" s="45"/>
    </row>
    <row r="377" spans="1:12" ht="56.25" x14ac:dyDescent="0.25">
      <c r="A377" s="28" t="s">
        <v>201</v>
      </c>
      <c r="B377" s="29" t="s">
        <v>37</v>
      </c>
      <c r="C377" s="36" t="s">
        <v>369</v>
      </c>
      <c r="D377" s="30" t="s">
        <v>38</v>
      </c>
      <c r="E377" s="29" t="s">
        <v>33</v>
      </c>
      <c r="F377" s="44"/>
      <c r="G377" s="44">
        <v>136.85</v>
      </c>
      <c r="H377" s="44"/>
      <c r="I377" s="44">
        <v>2</v>
      </c>
      <c r="J377" s="44"/>
      <c r="K377" s="44"/>
      <c r="L377" s="45">
        <f>G377*I377</f>
        <v>273.7</v>
      </c>
    </row>
    <row r="378" spans="1:12" x14ac:dyDescent="0.25">
      <c r="A378" s="28"/>
      <c r="B378" s="29"/>
      <c r="C378" s="36"/>
      <c r="D378" s="30"/>
      <c r="E378" s="29"/>
      <c r="F378" s="44"/>
      <c r="G378" s="44"/>
      <c r="H378" s="44"/>
      <c r="I378" s="44"/>
      <c r="J378" s="44"/>
      <c r="K378" s="44"/>
      <c r="L378" s="54"/>
    </row>
    <row r="379" spans="1:12" ht="33.75" x14ac:dyDescent="0.25">
      <c r="A379" s="28" t="s">
        <v>202</v>
      </c>
      <c r="B379" s="29" t="s">
        <v>40</v>
      </c>
      <c r="C379" s="36" t="s">
        <v>465</v>
      </c>
      <c r="D379" s="30" t="s">
        <v>41</v>
      </c>
      <c r="E379" s="29" t="s">
        <v>33</v>
      </c>
      <c r="F379" s="44"/>
      <c r="G379" s="44">
        <v>136.85</v>
      </c>
      <c r="H379" s="44"/>
      <c r="I379" s="44">
        <v>2</v>
      </c>
      <c r="J379" s="44"/>
      <c r="K379" s="44"/>
      <c r="L379" s="45">
        <f>G379*I379</f>
        <v>273.7</v>
      </c>
    </row>
    <row r="380" spans="1:12" x14ac:dyDescent="0.25">
      <c r="A380" s="28"/>
      <c r="B380" s="29"/>
      <c r="C380" s="36"/>
      <c r="D380" s="30"/>
      <c r="E380" s="29"/>
      <c r="F380" s="44"/>
      <c r="G380" s="44"/>
      <c r="H380" s="44"/>
      <c r="I380" s="44"/>
      <c r="J380" s="44"/>
      <c r="K380" s="44"/>
      <c r="L380" s="45"/>
    </row>
    <row r="381" spans="1:12" ht="33.75" x14ac:dyDescent="0.25">
      <c r="A381" s="28" t="s">
        <v>203</v>
      </c>
      <c r="B381" s="29" t="s">
        <v>43</v>
      </c>
      <c r="C381" s="36" t="s">
        <v>19</v>
      </c>
      <c r="D381" s="30" t="s">
        <v>44</v>
      </c>
      <c r="E381" s="29" t="s">
        <v>27</v>
      </c>
      <c r="F381" s="44">
        <v>6</v>
      </c>
      <c r="G381" s="44">
        <v>136.85</v>
      </c>
      <c r="H381" s="44"/>
      <c r="I381" s="44"/>
      <c r="J381" s="44"/>
      <c r="K381" s="44"/>
      <c r="L381" s="45">
        <f>G381*F381</f>
        <v>821.09999999999991</v>
      </c>
    </row>
    <row r="382" spans="1:12" x14ac:dyDescent="0.25">
      <c r="A382" s="56"/>
      <c r="B382" s="57"/>
      <c r="C382" s="57"/>
      <c r="D382" s="57"/>
      <c r="E382" s="57"/>
      <c r="F382" s="57"/>
      <c r="G382" s="57"/>
      <c r="H382" s="57"/>
      <c r="I382" s="57"/>
      <c r="J382" s="57"/>
      <c r="K382" s="57"/>
      <c r="L382" s="58"/>
    </row>
    <row r="383" spans="1:12" x14ac:dyDescent="0.25">
      <c r="A383" s="38" t="s">
        <v>205</v>
      </c>
      <c r="B383" s="52"/>
      <c r="C383" s="53"/>
      <c r="D383" s="41" t="s">
        <v>210</v>
      </c>
      <c r="E383" s="52"/>
      <c r="F383" s="42"/>
      <c r="G383" s="42"/>
      <c r="H383" s="42"/>
      <c r="I383" s="42"/>
      <c r="J383" s="42"/>
      <c r="K383" s="42"/>
      <c r="L383" s="43"/>
    </row>
    <row r="384" spans="1:12" ht="22.5" x14ac:dyDescent="0.25">
      <c r="A384" s="28" t="s">
        <v>206</v>
      </c>
      <c r="B384" s="29" t="s">
        <v>468</v>
      </c>
      <c r="C384" s="36" t="s">
        <v>464</v>
      </c>
      <c r="D384" s="30" t="s">
        <v>469</v>
      </c>
      <c r="E384" s="29" t="s">
        <v>27</v>
      </c>
      <c r="F384" s="44">
        <v>6</v>
      </c>
      <c r="G384" s="44">
        <f>(8*20)+14.72</f>
        <v>174.72</v>
      </c>
      <c r="H384" s="44"/>
      <c r="I384" s="44"/>
      <c r="J384" s="44"/>
      <c r="K384" s="44"/>
      <c r="L384" s="45">
        <f>G384*F384</f>
        <v>1048.32</v>
      </c>
    </row>
    <row r="385" spans="1:12" x14ac:dyDescent="0.25">
      <c r="A385" s="28"/>
      <c r="B385" s="29"/>
      <c r="C385" s="36"/>
      <c r="D385" s="30"/>
      <c r="E385" s="29"/>
      <c r="F385" s="44"/>
      <c r="G385" s="44"/>
      <c r="H385" s="44"/>
      <c r="I385" s="44"/>
      <c r="J385" s="44"/>
      <c r="K385" s="44"/>
      <c r="L385" s="45"/>
    </row>
    <row r="386" spans="1:12" ht="56.25" x14ac:dyDescent="0.25">
      <c r="A386" s="28" t="s">
        <v>207</v>
      </c>
      <c r="B386" s="29" t="s">
        <v>37</v>
      </c>
      <c r="C386" s="36" t="s">
        <v>369</v>
      </c>
      <c r="D386" s="30" t="s">
        <v>38</v>
      </c>
      <c r="E386" s="29" t="s">
        <v>33</v>
      </c>
      <c r="F386" s="44"/>
      <c r="G386" s="44">
        <v>174.72</v>
      </c>
      <c r="H386" s="44"/>
      <c r="I386" s="44">
        <v>2</v>
      </c>
      <c r="J386" s="44"/>
      <c r="K386" s="44"/>
      <c r="L386" s="45">
        <f>G386*I386</f>
        <v>349.44</v>
      </c>
    </row>
    <row r="387" spans="1:12" x14ac:dyDescent="0.25">
      <c r="A387" s="28"/>
      <c r="B387" s="29"/>
      <c r="C387" s="36"/>
      <c r="D387" s="30"/>
      <c r="E387" s="29"/>
      <c r="F387" s="44"/>
      <c r="G387" s="44"/>
      <c r="H387" s="44"/>
      <c r="I387" s="44"/>
      <c r="J387" s="44"/>
      <c r="K387" s="44"/>
      <c r="L387" s="54"/>
    </row>
    <row r="388" spans="1:12" ht="33.75" x14ac:dyDescent="0.25">
      <c r="A388" s="28" t="s">
        <v>208</v>
      </c>
      <c r="B388" s="29" t="s">
        <v>40</v>
      </c>
      <c r="C388" s="36" t="s">
        <v>465</v>
      </c>
      <c r="D388" s="30" t="s">
        <v>41</v>
      </c>
      <c r="E388" s="29" t="s">
        <v>33</v>
      </c>
      <c r="F388" s="44"/>
      <c r="G388" s="44">
        <v>174.72</v>
      </c>
      <c r="H388" s="44"/>
      <c r="I388" s="44">
        <v>2</v>
      </c>
      <c r="J388" s="44"/>
      <c r="K388" s="44"/>
      <c r="L388" s="45">
        <f>G388*I388</f>
        <v>349.44</v>
      </c>
    </row>
    <row r="389" spans="1:12" x14ac:dyDescent="0.25">
      <c r="A389" s="28"/>
      <c r="B389" s="29"/>
      <c r="C389" s="36"/>
      <c r="D389" s="30"/>
      <c r="E389" s="29"/>
      <c r="F389" s="44"/>
      <c r="G389" s="44"/>
      <c r="H389" s="44"/>
      <c r="I389" s="44"/>
      <c r="J389" s="44"/>
      <c r="K389" s="44"/>
      <c r="L389" s="45"/>
    </row>
    <row r="390" spans="1:12" ht="33.75" x14ac:dyDescent="0.25">
      <c r="A390" s="28" t="s">
        <v>209</v>
      </c>
      <c r="B390" s="29" t="s">
        <v>43</v>
      </c>
      <c r="C390" s="36" t="s">
        <v>19</v>
      </c>
      <c r="D390" s="30" t="s">
        <v>44</v>
      </c>
      <c r="E390" s="29" t="s">
        <v>27</v>
      </c>
      <c r="F390" s="44">
        <v>6</v>
      </c>
      <c r="G390" s="44">
        <v>174.72</v>
      </c>
      <c r="H390" s="44"/>
      <c r="I390" s="44"/>
      <c r="J390" s="44"/>
      <c r="K390" s="44"/>
      <c r="L390" s="45">
        <f>G390*F390</f>
        <v>1048.32</v>
      </c>
    </row>
    <row r="391" spans="1:12" x14ac:dyDescent="0.25">
      <c r="A391" s="56"/>
      <c r="B391" s="57"/>
      <c r="C391" s="57"/>
      <c r="D391" s="57"/>
      <c r="E391" s="57"/>
      <c r="F391" s="57"/>
      <c r="G391" s="57"/>
      <c r="H391" s="57"/>
      <c r="I391" s="57"/>
      <c r="J391" s="57"/>
      <c r="K391" s="57"/>
      <c r="L391" s="58"/>
    </row>
    <row r="392" spans="1:12" x14ac:dyDescent="0.25">
      <c r="A392" s="38" t="s">
        <v>211</v>
      </c>
      <c r="B392" s="52"/>
      <c r="C392" s="53"/>
      <c r="D392" s="41" t="s">
        <v>244</v>
      </c>
      <c r="E392" s="52"/>
      <c r="F392" s="42"/>
      <c r="G392" s="42"/>
      <c r="H392" s="42"/>
      <c r="I392" s="42"/>
      <c r="J392" s="42"/>
      <c r="K392" s="42"/>
      <c r="L392" s="43"/>
    </row>
    <row r="393" spans="1:12" ht="22.5" x14ac:dyDescent="0.25">
      <c r="A393" s="28" t="s">
        <v>212</v>
      </c>
      <c r="B393" s="29" t="s">
        <v>468</v>
      </c>
      <c r="C393" s="36" t="s">
        <v>464</v>
      </c>
      <c r="D393" s="30" t="s">
        <v>469</v>
      </c>
      <c r="E393" s="29" t="s">
        <v>27</v>
      </c>
      <c r="F393" s="44">
        <v>6</v>
      </c>
      <c r="G393" s="44">
        <f>(4*20)+14.37</f>
        <v>94.37</v>
      </c>
      <c r="H393" s="44"/>
      <c r="I393" s="44"/>
      <c r="J393" s="44"/>
      <c r="K393" s="44"/>
      <c r="L393" s="45">
        <f>G393*F393</f>
        <v>566.22</v>
      </c>
    </row>
    <row r="394" spans="1:12" x14ac:dyDescent="0.25">
      <c r="A394" s="28"/>
      <c r="B394" s="29"/>
      <c r="C394" s="36"/>
      <c r="D394" s="30"/>
      <c r="E394" s="29"/>
      <c r="F394" s="44"/>
      <c r="G394" s="44"/>
      <c r="H394" s="44"/>
      <c r="I394" s="44"/>
      <c r="J394" s="44"/>
      <c r="K394" s="44"/>
      <c r="L394" s="45"/>
    </row>
    <row r="395" spans="1:12" ht="56.25" x14ac:dyDescent="0.25">
      <c r="A395" s="28" t="s">
        <v>213</v>
      </c>
      <c r="B395" s="29" t="s">
        <v>37</v>
      </c>
      <c r="C395" s="36" t="s">
        <v>369</v>
      </c>
      <c r="D395" s="30" t="s">
        <v>38</v>
      </c>
      <c r="E395" s="29" t="s">
        <v>33</v>
      </c>
      <c r="F395" s="44"/>
      <c r="G395" s="44">
        <v>94.37</v>
      </c>
      <c r="H395" s="44"/>
      <c r="I395" s="44">
        <v>2</v>
      </c>
      <c r="J395" s="44"/>
      <c r="K395" s="44"/>
      <c r="L395" s="45">
        <f>G395*I395</f>
        <v>188.74</v>
      </c>
    </row>
    <row r="396" spans="1:12" x14ac:dyDescent="0.25">
      <c r="A396" s="28"/>
      <c r="B396" s="29"/>
      <c r="C396" s="36"/>
      <c r="D396" s="30"/>
      <c r="E396" s="29"/>
      <c r="F396" s="44"/>
      <c r="G396" s="44"/>
      <c r="H396" s="44"/>
      <c r="I396" s="44"/>
      <c r="J396" s="44"/>
      <c r="K396" s="44"/>
      <c r="L396" s="54"/>
    </row>
    <row r="397" spans="1:12" ht="33.75" x14ac:dyDescent="0.25">
      <c r="A397" s="28" t="s">
        <v>214</v>
      </c>
      <c r="B397" s="29" t="s">
        <v>40</v>
      </c>
      <c r="C397" s="36" t="s">
        <v>465</v>
      </c>
      <c r="D397" s="30" t="s">
        <v>41</v>
      </c>
      <c r="E397" s="29" t="s">
        <v>33</v>
      </c>
      <c r="F397" s="44"/>
      <c r="G397" s="44">
        <v>94.37</v>
      </c>
      <c r="H397" s="44"/>
      <c r="I397" s="44">
        <v>2</v>
      </c>
      <c r="J397" s="44"/>
      <c r="K397" s="44"/>
      <c r="L397" s="45">
        <f>G397*I397</f>
        <v>188.74</v>
      </c>
    </row>
    <row r="398" spans="1:12" x14ac:dyDescent="0.25">
      <c r="A398" s="28"/>
      <c r="B398" s="29"/>
      <c r="C398" s="36"/>
      <c r="D398" s="30"/>
      <c r="E398" s="29"/>
      <c r="F398" s="44"/>
      <c r="G398" s="44"/>
      <c r="H398" s="44"/>
      <c r="I398" s="44"/>
      <c r="J398" s="44"/>
      <c r="K398" s="44"/>
      <c r="L398" s="45"/>
    </row>
    <row r="399" spans="1:12" ht="33.75" x14ac:dyDescent="0.25">
      <c r="A399" s="28" t="s">
        <v>215</v>
      </c>
      <c r="B399" s="29" t="s">
        <v>43</v>
      </c>
      <c r="C399" s="36" t="s">
        <v>19</v>
      </c>
      <c r="D399" s="30" t="s">
        <v>44</v>
      </c>
      <c r="E399" s="29" t="s">
        <v>27</v>
      </c>
      <c r="F399" s="44">
        <v>6</v>
      </c>
      <c r="G399" s="44">
        <v>94.37</v>
      </c>
      <c r="H399" s="44"/>
      <c r="I399" s="44"/>
      <c r="J399" s="44"/>
      <c r="K399" s="44"/>
      <c r="L399" s="45">
        <f>G399*F399</f>
        <v>566.22</v>
      </c>
    </row>
    <row r="400" spans="1:12" x14ac:dyDescent="0.25">
      <c r="A400" s="56"/>
      <c r="B400" s="57"/>
      <c r="C400" s="57"/>
      <c r="D400" s="57"/>
      <c r="E400" s="57"/>
      <c r="F400" s="57"/>
      <c r="G400" s="57"/>
      <c r="H400" s="57"/>
      <c r="I400" s="57"/>
      <c r="J400" s="57"/>
      <c r="K400" s="57"/>
      <c r="L400" s="58"/>
    </row>
    <row r="401" spans="1:12" x14ac:dyDescent="0.25">
      <c r="A401" s="38" t="s">
        <v>216</v>
      </c>
      <c r="B401" s="52"/>
      <c r="C401" s="53"/>
      <c r="D401" s="41" t="s">
        <v>221</v>
      </c>
      <c r="E401" s="52"/>
      <c r="F401" s="42"/>
      <c r="G401" s="42"/>
      <c r="H401" s="42"/>
      <c r="I401" s="42"/>
      <c r="J401" s="42"/>
      <c r="K401" s="42"/>
      <c r="L401" s="43"/>
    </row>
    <row r="402" spans="1:12" ht="22.5" x14ac:dyDescent="0.25">
      <c r="A402" s="28" t="s">
        <v>217</v>
      </c>
      <c r="B402" s="29" t="s">
        <v>468</v>
      </c>
      <c r="C402" s="36" t="s">
        <v>464</v>
      </c>
      <c r="D402" s="30" t="s">
        <v>469</v>
      </c>
      <c r="E402" s="29" t="s">
        <v>27</v>
      </c>
      <c r="F402" s="44">
        <v>6</v>
      </c>
      <c r="G402" s="44">
        <f>(15*20)+10.39</f>
        <v>310.39</v>
      </c>
      <c r="H402" s="44"/>
      <c r="I402" s="44"/>
      <c r="J402" s="44"/>
      <c r="K402" s="44"/>
      <c r="L402" s="45">
        <f>G402*F402</f>
        <v>1862.34</v>
      </c>
    </row>
    <row r="403" spans="1:12" x14ac:dyDescent="0.25">
      <c r="A403" s="28"/>
      <c r="B403" s="29"/>
      <c r="C403" s="36"/>
      <c r="D403" s="30"/>
      <c r="E403" s="29"/>
      <c r="F403" s="44"/>
      <c r="G403" s="44"/>
      <c r="H403" s="44"/>
      <c r="I403" s="44"/>
      <c r="J403" s="44"/>
      <c r="K403" s="44"/>
      <c r="L403" s="45"/>
    </row>
    <row r="404" spans="1:12" ht="56.25" x14ac:dyDescent="0.25">
      <c r="A404" s="28" t="s">
        <v>218</v>
      </c>
      <c r="B404" s="29" t="s">
        <v>37</v>
      </c>
      <c r="C404" s="36" t="s">
        <v>369</v>
      </c>
      <c r="D404" s="30" t="s">
        <v>38</v>
      </c>
      <c r="E404" s="29" t="s">
        <v>33</v>
      </c>
      <c r="F404" s="44"/>
      <c r="G404" s="44">
        <v>310.39</v>
      </c>
      <c r="H404" s="44"/>
      <c r="I404" s="44">
        <v>2</v>
      </c>
      <c r="J404" s="44"/>
      <c r="K404" s="44"/>
      <c r="L404" s="45">
        <f>G404*I404</f>
        <v>620.78</v>
      </c>
    </row>
    <row r="405" spans="1:12" x14ac:dyDescent="0.25">
      <c r="A405" s="28"/>
      <c r="B405" s="29"/>
      <c r="C405" s="36"/>
      <c r="D405" s="30"/>
      <c r="E405" s="29"/>
      <c r="F405" s="44"/>
      <c r="G405" s="44"/>
      <c r="H405" s="44"/>
      <c r="I405" s="44"/>
      <c r="J405" s="44"/>
      <c r="K405" s="44"/>
      <c r="L405" s="54"/>
    </row>
    <row r="406" spans="1:12" ht="33.75" x14ac:dyDescent="0.25">
      <c r="A406" s="28" t="s">
        <v>219</v>
      </c>
      <c r="B406" s="29" t="s">
        <v>40</v>
      </c>
      <c r="C406" s="36" t="s">
        <v>465</v>
      </c>
      <c r="D406" s="30" t="s">
        <v>41</v>
      </c>
      <c r="E406" s="29" t="s">
        <v>33</v>
      </c>
      <c r="F406" s="44"/>
      <c r="G406" s="44">
        <v>310.39</v>
      </c>
      <c r="H406" s="44"/>
      <c r="I406" s="44">
        <v>2</v>
      </c>
      <c r="J406" s="44"/>
      <c r="K406" s="44"/>
      <c r="L406" s="45">
        <f>G406*I406</f>
        <v>620.78</v>
      </c>
    </row>
    <row r="407" spans="1:12" x14ac:dyDescent="0.25">
      <c r="A407" s="28"/>
      <c r="B407" s="29"/>
      <c r="C407" s="36"/>
      <c r="D407" s="30"/>
      <c r="E407" s="29"/>
      <c r="F407" s="44"/>
      <c r="G407" s="44"/>
      <c r="H407" s="44"/>
      <c r="I407" s="44"/>
      <c r="J407" s="44"/>
      <c r="K407" s="44"/>
      <c r="L407" s="45"/>
    </row>
    <row r="408" spans="1:12" ht="33.75" x14ac:dyDescent="0.25">
      <c r="A408" s="28" t="s">
        <v>220</v>
      </c>
      <c r="B408" s="29" t="s">
        <v>43</v>
      </c>
      <c r="C408" s="36" t="s">
        <v>19</v>
      </c>
      <c r="D408" s="30" t="s">
        <v>44</v>
      </c>
      <c r="E408" s="29" t="s">
        <v>27</v>
      </c>
      <c r="F408" s="44">
        <v>6</v>
      </c>
      <c r="G408" s="44">
        <v>310.39</v>
      </c>
      <c r="H408" s="44"/>
      <c r="I408" s="44"/>
      <c r="J408" s="44"/>
      <c r="K408" s="44"/>
      <c r="L408" s="45">
        <f>G408*F408</f>
        <v>1862.34</v>
      </c>
    </row>
    <row r="409" spans="1:12" x14ac:dyDescent="0.25">
      <c r="A409" s="28"/>
      <c r="B409" s="29"/>
      <c r="C409" s="36"/>
      <c r="D409" s="30"/>
      <c r="E409" s="29"/>
      <c r="F409" s="44"/>
      <c r="G409" s="44"/>
      <c r="H409" s="44"/>
      <c r="I409" s="44"/>
      <c r="J409" s="44"/>
      <c r="K409" s="44"/>
      <c r="L409" s="45"/>
    </row>
    <row r="410" spans="1:12" x14ac:dyDescent="0.25">
      <c r="A410" s="38" t="s">
        <v>245</v>
      </c>
      <c r="B410" s="52"/>
      <c r="C410" s="53"/>
      <c r="D410" s="41" t="s">
        <v>246</v>
      </c>
      <c r="E410" s="52"/>
      <c r="F410" s="42"/>
      <c r="G410" s="42"/>
      <c r="H410" s="42"/>
      <c r="I410" s="42"/>
      <c r="J410" s="42"/>
      <c r="K410" s="42"/>
      <c r="L410" s="43"/>
    </row>
    <row r="411" spans="1:12" ht="22.5" x14ac:dyDescent="0.25">
      <c r="A411" s="28" t="s">
        <v>247</v>
      </c>
      <c r="B411" s="29" t="s">
        <v>468</v>
      </c>
      <c r="C411" s="36" t="s">
        <v>464</v>
      </c>
      <c r="D411" s="30" t="s">
        <v>469</v>
      </c>
      <c r="E411" s="29" t="s">
        <v>27</v>
      </c>
      <c r="F411" s="44">
        <v>6</v>
      </c>
      <c r="G411" s="44">
        <f>(4*20)+13.87</f>
        <v>93.87</v>
      </c>
      <c r="H411" s="44"/>
      <c r="I411" s="44"/>
      <c r="J411" s="44"/>
      <c r="K411" s="44"/>
      <c r="L411" s="45">
        <f>G411*F411</f>
        <v>563.22</v>
      </c>
    </row>
    <row r="412" spans="1:12" x14ac:dyDescent="0.25">
      <c r="A412" s="28"/>
      <c r="B412" s="29"/>
      <c r="C412" s="36"/>
      <c r="D412" s="30"/>
      <c r="E412" s="29"/>
      <c r="F412" s="44"/>
      <c r="G412" s="44"/>
      <c r="H412" s="44"/>
      <c r="I412" s="44"/>
      <c r="J412" s="44"/>
      <c r="K412" s="44"/>
      <c r="L412" s="45"/>
    </row>
    <row r="413" spans="1:12" ht="56.25" x14ac:dyDescent="0.25">
      <c r="A413" s="28" t="s">
        <v>248</v>
      </c>
      <c r="B413" s="29" t="s">
        <v>37</v>
      </c>
      <c r="C413" s="36" t="s">
        <v>369</v>
      </c>
      <c r="D413" s="30" t="s">
        <v>38</v>
      </c>
      <c r="E413" s="29" t="s">
        <v>33</v>
      </c>
      <c r="F413" s="44"/>
      <c r="G413" s="44">
        <v>93.87</v>
      </c>
      <c r="H413" s="44"/>
      <c r="I413" s="44">
        <v>2</v>
      </c>
      <c r="J413" s="44"/>
      <c r="K413" s="44"/>
      <c r="L413" s="45">
        <f>G413*I413</f>
        <v>187.74</v>
      </c>
    </row>
    <row r="414" spans="1:12" x14ac:dyDescent="0.25">
      <c r="A414" s="28"/>
      <c r="B414" s="29"/>
      <c r="C414" s="36"/>
      <c r="D414" s="30"/>
      <c r="E414" s="29"/>
      <c r="F414" s="44"/>
      <c r="G414" s="44"/>
      <c r="H414" s="44"/>
      <c r="I414" s="44"/>
      <c r="J414" s="44"/>
      <c r="K414" s="44"/>
      <c r="L414" s="54"/>
    </row>
    <row r="415" spans="1:12" ht="33.75" x14ac:dyDescent="0.25">
      <c r="A415" s="28" t="s">
        <v>249</v>
      </c>
      <c r="B415" s="29" t="s">
        <v>40</v>
      </c>
      <c r="C415" s="36" t="s">
        <v>465</v>
      </c>
      <c r="D415" s="30" t="s">
        <v>41</v>
      </c>
      <c r="E415" s="29" t="s">
        <v>33</v>
      </c>
      <c r="F415" s="44"/>
      <c r="G415" s="44">
        <v>93.87</v>
      </c>
      <c r="H415" s="44"/>
      <c r="I415" s="44">
        <v>2</v>
      </c>
      <c r="J415" s="44"/>
      <c r="K415" s="44"/>
      <c r="L415" s="45">
        <f>G415*I415</f>
        <v>187.74</v>
      </c>
    </row>
    <row r="416" spans="1:12" x14ac:dyDescent="0.25">
      <c r="A416" s="28"/>
      <c r="B416" s="29"/>
      <c r="C416" s="36"/>
      <c r="D416" s="30"/>
      <c r="E416" s="29"/>
      <c r="F416" s="44"/>
      <c r="G416" s="44"/>
      <c r="H416" s="44"/>
      <c r="I416" s="44"/>
      <c r="J416" s="44"/>
      <c r="K416" s="44"/>
      <c r="L416" s="45"/>
    </row>
    <row r="417" spans="1:12" ht="33.75" x14ac:dyDescent="0.25">
      <c r="A417" s="28" t="s">
        <v>250</v>
      </c>
      <c r="B417" s="29" t="s">
        <v>43</v>
      </c>
      <c r="C417" s="36" t="s">
        <v>19</v>
      </c>
      <c r="D417" s="30" t="s">
        <v>44</v>
      </c>
      <c r="E417" s="29" t="s">
        <v>27</v>
      </c>
      <c r="F417" s="44">
        <v>6</v>
      </c>
      <c r="G417" s="44">
        <v>93.87</v>
      </c>
      <c r="H417" s="44"/>
      <c r="I417" s="44"/>
      <c r="J417" s="44"/>
      <c r="K417" s="44"/>
      <c r="L417" s="45">
        <f>G417*F417</f>
        <v>563.22</v>
      </c>
    </row>
    <row r="418" spans="1:12" x14ac:dyDescent="0.25">
      <c r="A418" s="28"/>
      <c r="B418" s="29"/>
      <c r="C418" s="36"/>
      <c r="D418" s="30"/>
      <c r="E418" s="29"/>
      <c r="F418" s="44"/>
      <c r="G418" s="44"/>
      <c r="H418" s="44"/>
      <c r="I418" s="44"/>
      <c r="J418" s="44"/>
      <c r="K418" s="44"/>
      <c r="L418" s="45"/>
    </row>
    <row r="419" spans="1:12" x14ac:dyDescent="0.25">
      <c r="A419" s="38" t="s">
        <v>441</v>
      </c>
      <c r="B419" s="52"/>
      <c r="C419" s="53"/>
      <c r="D419" s="41" t="s">
        <v>246</v>
      </c>
      <c r="E419" s="52"/>
      <c r="F419" s="42"/>
      <c r="G419" s="42"/>
      <c r="H419" s="42"/>
      <c r="I419" s="42"/>
      <c r="J419" s="42"/>
      <c r="K419" s="42"/>
      <c r="L419" s="43"/>
    </row>
    <row r="420" spans="1:12" ht="22.5" x14ac:dyDescent="0.25">
      <c r="A420" s="28" t="s">
        <v>442</v>
      </c>
      <c r="B420" s="29" t="s">
        <v>468</v>
      </c>
      <c r="C420" s="36" t="s">
        <v>464</v>
      </c>
      <c r="D420" s="30" t="s">
        <v>469</v>
      </c>
      <c r="E420" s="29" t="s">
        <v>27</v>
      </c>
      <c r="F420" s="44">
        <v>6</v>
      </c>
      <c r="G420" s="44">
        <f>(0*20)+17.8</f>
        <v>17.8</v>
      </c>
      <c r="H420" s="44"/>
      <c r="I420" s="44"/>
      <c r="J420" s="44"/>
      <c r="K420" s="44"/>
      <c r="L420" s="45">
        <f>G420*F420</f>
        <v>106.80000000000001</v>
      </c>
    </row>
    <row r="421" spans="1:12" x14ac:dyDescent="0.25">
      <c r="A421" s="28"/>
      <c r="B421" s="29"/>
      <c r="C421" s="36"/>
      <c r="D421" s="30"/>
      <c r="E421" s="29"/>
      <c r="F421" s="44"/>
      <c r="G421" s="44"/>
      <c r="H421" s="44"/>
      <c r="I421" s="44"/>
      <c r="J421" s="44"/>
      <c r="K421" s="44"/>
      <c r="L421" s="45"/>
    </row>
    <row r="422" spans="1:12" ht="56.25" x14ac:dyDescent="0.25">
      <c r="A422" s="28" t="s">
        <v>443</v>
      </c>
      <c r="B422" s="29" t="s">
        <v>37</v>
      </c>
      <c r="C422" s="36" t="s">
        <v>369</v>
      </c>
      <c r="D422" s="30" t="s">
        <v>38</v>
      </c>
      <c r="E422" s="29" t="s">
        <v>33</v>
      </c>
      <c r="F422" s="44"/>
      <c r="G422" s="44">
        <v>17.8</v>
      </c>
      <c r="H422" s="44"/>
      <c r="I422" s="44">
        <v>2</v>
      </c>
      <c r="J422" s="44"/>
      <c r="K422" s="44"/>
      <c r="L422" s="45">
        <f>G422*I422</f>
        <v>35.6</v>
      </c>
    </row>
    <row r="423" spans="1:12" x14ac:dyDescent="0.25">
      <c r="A423" s="28"/>
      <c r="B423" s="29"/>
      <c r="C423" s="36"/>
      <c r="D423" s="30"/>
      <c r="E423" s="29"/>
      <c r="F423" s="44"/>
      <c r="G423" s="44"/>
      <c r="H423" s="44"/>
      <c r="I423" s="44"/>
      <c r="J423" s="44"/>
      <c r="K423" s="44"/>
      <c r="L423" s="54"/>
    </row>
    <row r="424" spans="1:12" ht="33.75" x14ac:dyDescent="0.25">
      <c r="A424" s="28" t="s">
        <v>444</v>
      </c>
      <c r="B424" s="29" t="s">
        <v>40</v>
      </c>
      <c r="C424" s="36" t="s">
        <v>465</v>
      </c>
      <c r="D424" s="30" t="s">
        <v>41</v>
      </c>
      <c r="E424" s="29" t="s">
        <v>33</v>
      </c>
      <c r="F424" s="44"/>
      <c r="G424" s="44">
        <v>17.8</v>
      </c>
      <c r="H424" s="44"/>
      <c r="I424" s="44">
        <v>2</v>
      </c>
      <c r="J424" s="44"/>
      <c r="K424" s="44"/>
      <c r="L424" s="45">
        <f>G424*I424</f>
        <v>35.6</v>
      </c>
    </row>
    <row r="425" spans="1:12" x14ac:dyDescent="0.25">
      <c r="A425" s="28"/>
      <c r="B425" s="29"/>
      <c r="C425" s="36"/>
      <c r="D425" s="30"/>
      <c r="E425" s="29"/>
      <c r="F425" s="44"/>
      <c r="G425" s="44"/>
      <c r="H425" s="44"/>
      <c r="I425" s="44"/>
      <c r="J425" s="44"/>
      <c r="K425" s="44"/>
      <c r="L425" s="45"/>
    </row>
    <row r="426" spans="1:12" ht="33.75" x14ac:dyDescent="0.25">
      <c r="A426" s="28" t="s">
        <v>445</v>
      </c>
      <c r="B426" s="29" t="s">
        <v>43</v>
      </c>
      <c r="C426" s="36" t="s">
        <v>19</v>
      </c>
      <c r="D426" s="30" t="s">
        <v>44</v>
      </c>
      <c r="E426" s="29" t="s">
        <v>27</v>
      </c>
      <c r="F426" s="44">
        <v>6</v>
      </c>
      <c r="G426" s="44">
        <v>17.8</v>
      </c>
      <c r="H426" s="44"/>
      <c r="I426" s="44"/>
      <c r="J426" s="44"/>
      <c r="K426" s="44"/>
      <c r="L426" s="45">
        <f>G426*F426</f>
        <v>106.80000000000001</v>
      </c>
    </row>
    <row r="427" spans="1:12" x14ac:dyDescent="0.25">
      <c r="A427" s="28"/>
      <c r="B427" s="29"/>
      <c r="C427" s="36"/>
      <c r="D427" s="30"/>
      <c r="E427" s="29"/>
      <c r="F427" s="44"/>
      <c r="G427" s="44"/>
      <c r="H427" s="44"/>
      <c r="I427" s="44"/>
      <c r="J427" s="44"/>
      <c r="K427" s="44"/>
      <c r="L427" s="45"/>
    </row>
    <row r="428" spans="1:12" x14ac:dyDescent="0.25">
      <c r="A428" s="38" t="s">
        <v>446</v>
      </c>
      <c r="B428" s="52"/>
      <c r="C428" s="53"/>
      <c r="D428" s="41" t="s">
        <v>451</v>
      </c>
      <c r="E428" s="52"/>
      <c r="F428" s="42"/>
      <c r="G428" s="42"/>
      <c r="H428" s="42"/>
      <c r="I428" s="42"/>
      <c r="J428" s="42"/>
      <c r="K428" s="42"/>
      <c r="L428" s="43"/>
    </row>
    <row r="429" spans="1:12" ht="22.5" x14ac:dyDescent="0.25">
      <c r="A429" s="28" t="s">
        <v>447</v>
      </c>
      <c r="B429" s="29" t="s">
        <v>468</v>
      </c>
      <c r="C429" s="36" t="s">
        <v>464</v>
      </c>
      <c r="D429" s="30" t="s">
        <v>469</v>
      </c>
      <c r="E429" s="29" t="s">
        <v>27</v>
      </c>
      <c r="F429" s="44">
        <v>6</v>
      </c>
      <c r="G429" s="44">
        <f>(5*20)+19.02</f>
        <v>119.02</v>
      </c>
      <c r="H429" s="44"/>
      <c r="I429" s="44"/>
      <c r="J429" s="44"/>
      <c r="K429" s="44"/>
      <c r="L429" s="45">
        <f>G429*F429</f>
        <v>714.12</v>
      </c>
    </row>
    <row r="430" spans="1:12" x14ac:dyDescent="0.25">
      <c r="A430" s="28"/>
      <c r="B430" s="29"/>
      <c r="C430" s="36"/>
      <c r="D430" s="30"/>
      <c r="E430" s="29"/>
      <c r="F430" s="44"/>
      <c r="G430" s="44"/>
      <c r="H430" s="44"/>
      <c r="I430" s="44"/>
      <c r="J430" s="44"/>
      <c r="K430" s="44"/>
      <c r="L430" s="45"/>
    </row>
    <row r="431" spans="1:12" ht="56.25" x14ac:dyDescent="0.25">
      <c r="A431" s="28" t="s">
        <v>448</v>
      </c>
      <c r="B431" s="29" t="s">
        <v>37</v>
      </c>
      <c r="C431" s="36" t="s">
        <v>369</v>
      </c>
      <c r="D431" s="30" t="s">
        <v>38</v>
      </c>
      <c r="E431" s="29" t="s">
        <v>33</v>
      </c>
      <c r="F431" s="44"/>
      <c r="G431" s="44">
        <v>119.02</v>
      </c>
      <c r="H431" s="44"/>
      <c r="I431" s="44">
        <v>2</v>
      </c>
      <c r="J431" s="44"/>
      <c r="K431" s="44"/>
      <c r="L431" s="45">
        <f>G431*I431</f>
        <v>238.04</v>
      </c>
    </row>
    <row r="432" spans="1:12" x14ac:dyDescent="0.25">
      <c r="A432" s="28"/>
      <c r="B432" s="29"/>
      <c r="C432" s="36"/>
      <c r="D432" s="30"/>
      <c r="E432" s="29"/>
      <c r="F432" s="44"/>
      <c r="G432" s="44"/>
      <c r="H432" s="44"/>
      <c r="I432" s="44"/>
      <c r="J432" s="44"/>
      <c r="K432" s="44"/>
      <c r="L432" s="54"/>
    </row>
    <row r="433" spans="1:12" ht="33.75" x14ac:dyDescent="0.25">
      <c r="A433" s="28" t="s">
        <v>449</v>
      </c>
      <c r="B433" s="29" t="s">
        <v>40</v>
      </c>
      <c r="C433" s="36" t="s">
        <v>465</v>
      </c>
      <c r="D433" s="30" t="s">
        <v>41</v>
      </c>
      <c r="E433" s="29" t="s">
        <v>33</v>
      </c>
      <c r="F433" s="44"/>
      <c r="G433" s="44">
        <v>119.02</v>
      </c>
      <c r="H433" s="44"/>
      <c r="I433" s="44">
        <v>2</v>
      </c>
      <c r="J433" s="44"/>
      <c r="K433" s="44"/>
      <c r="L433" s="45">
        <f>G433*I433</f>
        <v>238.04</v>
      </c>
    </row>
    <row r="434" spans="1:12" x14ac:dyDescent="0.25">
      <c r="A434" s="28"/>
      <c r="B434" s="29"/>
      <c r="C434" s="36"/>
      <c r="D434" s="30"/>
      <c r="E434" s="29"/>
      <c r="F434" s="44"/>
      <c r="G434" s="44"/>
      <c r="H434" s="44"/>
      <c r="I434" s="44"/>
      <c r="J434" s="44"/>
      <c r="K434" s="44"/>
      <c r="L434" s="45"/>
    </row>
    <row r="435" spans="1:12" ht="33.75" x14ac:dyDescent="0.25">
      <c r="A435" s="28" t="s">
        <v>450</v>
      </c>
      <c r="B435" s="29" t="s">
        <v>43</v>
      </c>
      <c r="C435" s="36" t="s">
        <v>19</v>
      </c>
      <c r="D435" s="30" t="s">
        <v>44</v>
      </c>
      <c r="E435" s="29" t="s">
        <v>27</v>
      </c>
      <c r="F435" s="44">
        <v>6</v>
      </c>
      <c r="G435" s="44">
        <v>119.02</v>
      </c>
      <c r="H435" s="44"/>
      <c r="I435" s="44"/>
      <c r="J435" s="44"/>
      <c r="K435" s="44"/>
      <c r="L435" s="45">
        <f>G435*F435</f>
        <v>714.12</v>
      </c>
    </row>
    <row r="436" spans="1:12" x14ac:dyDescent="0.25">
      <c r="A436" s="28"/>
      <c r="B436" s="29"/>
      <c r="C436" s="36"/>
      <c r="D436" s="30"/>
      <c r="E436" s="29"/>
      <c r="F436" s="44"/>
      <c r="G436" s="44"/>
      <c r="H436" s="44"/>
      <c r="I436" s="44"/>
      <c r="J436" s="44"/>
      <c r="K436" s="44"/>
      <c r="L436" s="45"/>
    </row>
    <row r="437" spans="1:12" x14ac:dyDescent="0.25">
      <c r="A437" s="38" t="s">
        <v>452</v>
      </c>
      <c r="B437" s="52"/>
      <c r="C437" s="53"/>
      <c r="D437" s="41" t="s">
        <v>453</v>
      </c>
      <c r="E437" s="52"/>
      <c r="F437" s="42"/>
      <c r="G437" s="42"/>
      <c r="H437" s="42"/>
      <c r="I437" s="42"/>
      <c r="J437" s="42"/>
      <c r="K437" s="42"/>
      <c r="L437" s="43"/>
    </row>
    <row r="438" spans="1:12" ht="22.5" x14ac:dyDescent="0.25">
      <c r="A438" s="28" t="s">
        <v>454</v>
      </c>
      <c r="B438" s="29" t="s">
        <v>468</v>
      </c>
      <c r="C438" s="36" t="s">
        <v>464</v>
      </c>
      <c r="D438" s="30" t="s">
        <v>469</v>
      </c>
      <c r="E438" s="29" t="s">
        <v>27</v>
      </c>
      <c r="F438" s="44">
        <v>6</v>
      </c>
      <c r="G438" s="44">
        <f>(3*20)+0</f>
        <v>60</v>
      </c>
      <c r="H438" s="44"/>
      <c r="I438" s="44"/>
      <c r="J438" s="44"/>
      <c r="K438" s="44"/>
      <c r="L438" s="45">
        <f>G438*F438</f>
        <v>360</v>
      </c>
    </row>
    <row r="439" spans="1:12" x14ac:dyDescent="0.25">
      <c r="A439" s="28"/>
      <c r="B439" s="29"/>
      <c r="C439" s="36"/>
      <c r="D439" s="30"/>
      <c r="E439" s="29"/>
      <c r="F439" s="44"/>
      <c r="G439" s="44"/>
      <c r="H439" s="44"/>
      <c r="I439" s="44"/>
      <c r="J439" s="44"/>
      <c r="K439" s="44"/>
      <c r="L439" s="45"/>
    </row>
    <row r="440" spans="1:12" ht="56.25" x14ac:dyDescent="0.25">
      <c r="A440" s="28" t="s">
        <v>455</v>
      </c>
      <c r="B440" s="29" t="s">
        <v>37</v>
      </c>
      <c r="C440" s="36" t="s">
        <v>369</v>
      </c>
      <c r="D440" s="30" t="s">
        <v>38</v>
      </c>
      <c r="E440" s="29" t="s">
        <v>33</v>
      </c>
      <c r="F440" s="44"/>
      <c r="G440" s="44">
        <v>60</v>
      </c>
      <c r="H440" s="44"/>
      <c r="I440" s="44">
        <v>2</v>
      </c>
      <c r="J440" s="44"/>
      <c r="K440" s="44"/>
      <c r="L440" s="45">
        <f>G440*I440</f>
        <v>120</v>
      </c>
    </row>
    <row r="441" spans="1:12" x14ac:dyDescent="0.25">
      <c r="A441" s="28"/>
      <c r="B441" s="29"/>
      <c r="C441" s="36"/>
      <c r="D441" s="30"/>
      <c r="E441" s="29"/>
      <c r="F441" s="44"/>
      <c r="G441" s="44"/>
      <c r="H441" s="44"/>
      <c r="I441" s="44"/>
      <c r="J441" s="44"/>
      <c r="K441" s="44"/>
      <c r="L441" s="54"/>
    </row>
    <row r="442" spans="1:12" ht="33.75" x14ac:dyDescent="0.25">
      <c r="A442" s="28" t="s">
        <v>456</v>
      </c>
      <c r="B442" s="29" t="s">
        <v>40</v>
      </c>
      <c r="C442" s="36" t="s">
        <v>465</v>
      </c>
      <c r="D442" s="30" t="s">
        <v>41</v>
      </c>
      <c r="E442" s="29" t="s">
        <v>33</v>
      </c>
      <c r="F442" s="44"/>
      <c r="G442" s="44">
        <v>60</v>
      </c>
      <c r="H442" s="44"/>
      <c r="I442" s="44">
        <v>2</v>
      </c>
      <c r="J442" s="44"/>
      <c r="K442" s="44"/>
      <c r="L442" s="45">
        <f>G442*I442</f>
        <v>120</v>
      </c>
    </row>
    <row r="443" spans="1:12" x14ac:dyDescent="0.25">
      <c r="A443" s="28"/>
      <c r="B443" s="29"/>
      <c r="C443" s="36"/>
      <c r="D443" s="30"/>
      <c r="E443" s="29"/>
      <c r="F443" s="44"/>
      <c r="G443" s="44"/>
      <c r="H443" s="44"/>
      <c r="I443" s="44"/>
      <c r="J443" s="44"/>
      <c r="K443" s="44"/>
      <c r="L443" s="45"/>
    </row>
    <row r="444" spans="1:12" ht="33.75" x14ac:dyDescent="0.25">
      <c r="A444" s="28" t="s">
        <v>457</v>
      </c>
      <c r="B444" s="29" t="s">
        <v>43</v>
      </c>
      <c r="C444" s="36" t="s">
        <v>19</v>
      </c>
      <c r="D444" s="30" t="s">
        <v>44</v>
      </c>
      <c r="E444" s="29" t="s">
        <v>27</v>
      </c>
      <c r="F444" s="44">
        <v>6</v>
      </c>
      <c r="G444" s="44">
        <v>60</v>
      </c>
      <c r="H444" s="44"/>
      <c r="I444" s="44"/>
      <c r="J444" s="44"/>
      <c r="K444" s="44"/>
      <c r="L444" s="45">
        <f>G444*F444</f>
        <v>360</v>
      </c>
    </row>
    <row r="445" spans="1:12" x14ac:dyDescent="0.25">
      <c r="A445" s="28"/>
      <c r="B445" s="29"/>
      <c r="C445" s="36"/>
      <c r="D445" s="30"/>
      <c r="E445" s="29"/>
      <c r="F445" s="44"/>
      <c r="G445" s="44"/>
      <c r="H445" s="44"/>
      <c r="I445" s="44"/>
      <c r="J445" s="44"/>
      <c r="K445" s="44"/>
      <c r="L445" s="45"/>
    </row>
    <row r="446" spans="1:12" x14ac:dyDescent="0.25">
      <c r="A446" s="38" t="s">
        <v>458</v>
      </c>
      <c r="B446" s="52"/>
      <c r="C446" s="53"/>
      <c r="D446" s="41" t="s">
        <v>463</v>
      </c>
      <c r="E446" s="52"/>
      <c r="F446" s="42"/>
      <c r="G446" s="42"/>
      <c r="H446" s="42"/>
      <c r="I446" s="42"/>
      <c r="J446" s="42"/>
      <c r="K446" s="42"/>
      <c r="L446" s="43"/>
    </row>
    <row r="447" spans="1:12" ht="22.5" x14ac:dyDescent="0.25">
      <c r="A447" s="28" t="s">
        <v>459</v>
      </c>
      <c r="B447" s="29" t="s">
        <v>468</v>
      </c>
      <c r="C447" s="36" t="s">
        <v>464</v>
      </c>
      <c r="D447" s="30" t="s">
        <v>469</v>
      </c>
      <c r="E447" s="29" t="s">
        <v>27</v>
      </c>
      <c r="F447" s="44">
        <f>AVERAGE(9.97,9.23)</f>
        <v>9.6000000000000014</v>
      </c>
      <c r="G447" s="44">
        <f>(2*20)+2.21</f>
        <v>42.21</v>
      </c>
      <c r="H447" s="44"/>
      <c r="I447" s="44"/>
      <c r="J447" s="44"/>
      <c r="K447" s="44"/>
      <c r="L447" s="45">
        <f>G447*F447</f>
        <v>405.21600000000007</v>
      </c>
    </row>
    <row r="448" spans="1:12" x14ac:dyDescent="0.25">
      <c r="A448" s="28"/>
      <c r="B448" s="29"/>
      <c r="C448" s="36"/>
      <c r="D448" s="30"/>
      <c r="E448" s="29"/>
      <c r="F448" s="44"/>
      <c r="G448" s="44"/>
      <c r="H448" s="44"/>
      <c r="I448" s="44"/>
      <c r="J448" s="44"/>
      <c r="K448" s="44"/>
      <c r="L448" s="45"/>
    </row>
    <row r="449" spans="1:12" ht="56.25" x14ac:dyDescent="0.25">
      <c r="A449" s="28" t="s">
        <v>460</v>
      </c>
      <c r="B449" s="29" t="s">
        <v>37</v>
      </c>
      <c r="C449" s="36" t="s">
        <v>369</v>
      </c>
      <c r="D449" s="30" t="s">
        <v>38</v>
      </c>
      <c r="E449" s="29" t="s">
        <v>33</v>
      </c>
      <c r="F449" s="44"/>
      <c r="G449" s="44">
        <v>42.21</v>
      </c>
      <c r="H449" s="44"/>
      <c r="I449" s="44">
        <v>2</v>
      </c>
      <c r="J449" s="44"/>
      <c r="K449" s="44"/>
      <c r="L449" s="45">
        <f>G449*I449</f>
        <v>84.42</v>
      </c>
    </row>
    <row r="450" spans="1:12" x14ac:dyDescent="0.25">
      <c r="A450" s="28"/>
      <c r="B450" s="29"/>
      <c r="C450" s="36"/>
      <c r="D450" s="30"/>
      <c r="E450" s="29"/>
      <c r="F450" s="44"/>
      <c r="G450" s="44"/>
      <c r="H450" s="44"/>
      <c r="I450" s="44"/>
      <c r="J450" s="44"/>
      <c r="K450" s="44"/>
      <c r="L450" s="54"/>
    </row>
    <row r="451" spans="1:12" ht="33.75" x14ac:dyDescent="0.25">
      <c r="A451" s="28" t="s">
        <v>461</v>
      </c>
      <c r="B451" s="29" t="s">
        <v>40</v>
      </c>
      <c r="C451" s="36" t="s">
        <v>465</v>
      </c>
      <c r="D451" s="30" t="s">
        <v>41</v>
      </c>
      <c r="E451" s="29" t="s">
        <v>33</v>
      </c>
      <c r="F451" s="44"/>
      <c r="G451" s="44">
        <v>42.21</v>
      </c>
      <c r="H451" s="44"/>
      <c r="I451" s="44">
        <v>2</v>
      </c>
      <c r="J451" s="44"/>
      <c r="K451" s="44"/>
      <c r="L451" s="45">
        <f>G451*I451</f>
        <v>84.42</v>
      </c>
    </row>
    <row r="452" spans="1:12" x14ac:dyDescent="0.25">
      <c r="A452" s="28"/>
      <c r="B452" s="29"/>
      <c r="C452" s="36"/>
      <c r="D452" s="30"/>
      <c r="E452" s="29"/>
      <c r="F452" s="44"/>
      <c r="G452" s="44"/>
      <c r="H452" s="44"/>
      <c r="I452" s="44"/>
      <c r="J452" s="44"/>
      <c r="K452" s="44"/>
      <c r="L452" s="45"/>
    </row>
    <row r="453" spans="1:12" ht="33.75" x14ac:dyDescent="0.25">
      <c r="A453" s="28" t="s">
        <v>462</v>
      </c>
      <c r="B453" s="29" t="s">
        <v>43</v>
      </c>
      <c r="C453" s="36" t="s">
        <v>19</v>
      </c>
      <c r="D453" s="30" t="s">
        <v>44</v>
      </c>
      <c r="E453" s="29" t="s">
        <v>27</v>
      </c>
      <c r="F453" s="44">
        <v>9.6</v>
      </c>
      <c r="G453" s="44">
        <v>42.21</v>
      </c>
      <c r="H453" s="44"/>
      <c r="I453" s="44"/>
      <c r="J453" s="44"/>
      <c r="K453" s="44"/>
      <c r="L453" s="45">
        <f>G453*F453</f>
        <v>405.21600000000001</v>
      </c>
    </row>
    <row r="454" spans="1:12" x14ac:dyDescent="0.25">
      <c r="A454" s="56"/>
      <c r="B454" s="57"/>
      <c r="C454" s="57"/>
      <c r="D454" s="57"/>
      <c r="E454" s="57"/>
      <c r="F454" s="57"/>
      <c r="G454" s="57"/>
      <c r="H454" s="57"/>
      <c r="I454" s="57"/>
      <c r="J454" s="57"/>
      <c r="K454" s="57"/>
      <c r="L454" s="58"/>
    </row>
    <row r="455" spans="1:12" x14ac:dyDescent="0.25">
      <c r="A455" s="46" t="s">
        <v>222</v>
      </c>
      <c r="B455" s="47"/>
      <c r="C455" s="48"/>
      <c r="D455" s="49" t="s">
        <v>223</v>
      </c>
      <c r="E455" s="47"/>
      <c r="F455" s="50"/>
      <c r="G455" s="50"/>
      <c r="H455" s="50"/>
      <c r="I455" s="50"/>
      <c r="J455" s="50"/>
      <c r="K455" s="50"/>
      <c r="L455" s="51"/>
    </row>
    <row r="456" spans="1:12" x14ac:dyDescent="0.25">
      <c r="A456" s="38" t="s">
        <v>224</v>
      </c>
      <c r="B456" s="52"/>
      <c r="C456" s="53"/>
      <c r="D456" s="41" t="s">
        <v>229</v>
      </c>
      <c r="E456" s="52"/>
      <c r="F456" s="42"/>
      <c r="G456" s="42"/>
      <c r="H456" s="42"/>
      <c r="I456" s="42"/>
      <c r="J456" s="42"/>
      <c r="K456" s="42"/>
      <c r="L456" s="43"/>
    </row>
    <row r="457" spans="1:12" ht="22.5" x14ac:dyDescent="0.25">
      <c r="A457" s="28" t="s">
        <v>225</v>
      </c>
      <c r="B457" s="29" t="s">
        <v>468</v>
      </c>
      <c r="C457" s="36" t="s">
        <v>464</v>
      </c>
      <c r="D457" s="30" t="s">
        <v>469</v>
      </c>
      <c r="E457" s="29" t="s">
        <v>27</v>
      </c>
      <c r="F457" s="44">
        <v>6</v>
      </c>
      <c r="G457" s="44">
        <f>(3*20)+0</f>
        <v>60</v>
      </c>
      <c r="H457" s="44"/>
      <c r="I457" s="44"/>
      <c r="J457" s="44"/>
      <c r="K457" s="44"/>
      <c r="L457" s="45">
        <f>G457*F457</f>
        <v>360</v>
      </c>
    </row>
    <row r="458" spans="1:12" x14ac:dyDescent="0.25">
      <c r="A458" s="28"/>
      <c r="B458" s="29"/>
      <c r="C458" s="36"/>
      <c r="D458" s="30"/>
      <c r="E458" s="29"/>
      <c r="F458" s="44"/>
      <c r="G458" s="44"/>
      <c r="H458" s="44"/>
      <c r="I458" s="44"/>
      <c r="J458" s="44"/>
      <c r="K458" s="44"/>
      <c r="L458" s="45"/>
    </row>
    <row r="459" spans="1:12" ht="56.25" x14ac:dyDescent="0.25">
      <c r="A459" s="28" t="s">
        <v>226</v>
      </c>
      <c r="B459" s="29" t="s">
        <v>37</v>
      </c>
      <c r="C459" s="36" t="s">
        <v>369</v>
      </c>
      <c r="D459" s="30" t="s">
        <v>38</v>
      </c>
      <c r="E459" s="29" t="s">
        <v>33</v>
      </c>
      <c r="F459" s="44"/>
      <c r="G459" s="44">
        <v>60</v>
      </c>
      <c r="H459" s="44"/>
      <c r="I459" s="44">
        <v>2</v>
      </c>
      <c r="J459" s="44"/>
      <c r="K459" s="44"/>
      <c r="L459" s="45">
        <f>G459*I459</f>
        <v>120</v>
      </c>
    </row>
    <row r="460" spans="1:12" x14ac:dyDescent="0.25">
      <c r="A460" s="28"/>
      <c r="B460" s="29"/>
      <c r="C460" s="36"/>
      <c r="D460" s="30"/>
      <c r="E460" s="29"/>
      <c r="F460" s="44"/>
      <c r="G460" s="44"/>
      <c r="H460" s="44"/>
      <c r="I460" s="44"/>
      <c r="J460" s="44"/>
      <c r="K460" s="44"/>
      <c r="L460" s="54"/>
    </row>
    <row r="461" spans="1:12" ht="33.75" x14ac:dyDescent="0.25">
      <c r="A461" s="28" t="s">
        <v>227</v>
      </c>
      <c r="B461" s="29" t="s">
        <v>40</v>
      </c>
      <c r="C461" s="36" t="s">
        <v>465</v>
      </c>
      <c r="D461" s="30" t="s">
        <v>41</v>
      </c>
      <c r="E461" s="29" t="s">
        <v>33</v>
      </c>
      <c r="F461" s="44"/>
      <c r="G461" s="44">
        <v>60</v>
      </c>
      <c r="H461" s="44"/>
      <c r="I461" s="44">
        <v>2</v>
      </c>
      <c r="J461" s="44"/>
      <c r="K461" s="44"/>
      <c r="L461" s="45">
        <f>G461*I461</f>
        <v>120</v>
      </c>
    </row>
    <row r="462" spans="1:12" x14ac:dyDescent="0.25">
      <c r="A462" s="28"/>
      <c r="B462" s="29"/>
      <c r="C462" s="36"/>
      <c r="D462" s="30"/>
      <c r="E462" s="29"/>
      <c r="F462" s="44"/>
      <c r="G462" s="44"/>
      <c r="H462" s="44"/>
      <c r="I462" s="44"/>
      <c r="J462" s="44"/>
      <c r="K462" s="44"/>
      <c r="L462" s="45"/>
    </row>
    <row r="463" spans="1:12" ht="33.75" x14ac:dyDescent="0.25">
      <c r="A463" s="28" t="s">
        <v>228</v>
      </c>
      <c r="B463" s="29" t="s">
        <v>43</v>
      </c>
      <c r="C463" s="36" t="s">
        <v>19</v>
      </c>
      <c r="D463" s="30" t="s">
        <v>44</v>
      </c>
      <c r="E463" s="29" t="s">
        <v>27</v>
      </c>
      <c r="F463" s="44">
        <v>6</v>
      </c>
      <c r="G463" s="44">
        <v>60</v>
      </c>
      <c r="H463" s="44"/>
      <c r="I463" s="44"/>
      <c r="J463" s="44"/>
      <c r="K463" s="44"/>
      <c r="L463" s="45">
        <f>G463*F463</f>
        <v>360</v>
      </c>
    </row>
    <row r="464" spans="1:12" x14ac:dyDescent="0.25">
      <c r="A464" s="56"/>
      <c r="B464" s="57"/>
      <c r="C464" s="57"/>
      <c r="D464" s="57"/>
      <c r="E464" s="57"/>
      <c r="F464" s="57"/>
      <c r="G464" s="57"/>
      <c r="H464" s="57"/>
      <c r="I464" s="57"/>
      <c r="J464" s="57"/>
      <c r="K464" s="57"/>
      <c r="L464" s="58"/>
    </row>
    <row r="465" spans="1:12" x14ac:dyDescent="0.25">
      <c r="A465" s="38" t="s">
        <v>230</v>
      </c>
      <c r="B465" s="52"/>
      <c r="C465" s="53"/>
      <c r="D465" s="41" t="s">
        <v>235</v>
      </c>
      <c r="E465" s="52"/>
      <c r="F465" s="42"/>
      <c r="G465" s="42"/>
      <c r="H465" s="42"/>
      <c r="I465" s="42"/>
      <c r="J465" s="42"/>
      <c r="K465" s="42"/>
      <c r="L465" s="43"/>
    </row>
    <row r="466" spans="1:12" ht="22.5" x14ac:dyDescent="0.25">
      <c r="A466" s="28" t="s">
        <v>231</v>
      </c>
      <c r="B466" s="29" t="s">
        <v>468</v>
      </c>
      <c r="C466" s="36" t="s">
        <v>464</v>
      </c>
      <c r="D466" s="30" t="s">
        <v>469</v>
      </c>
      <c r="E466" s="29" t="s">
        <v>27</v>
      </c>
      <c r="F466" s="44">
        <v>6</v>
      </c>
      <c r="G466" s="44">
        <f>(3*20)+0</f>
        <v>60</v>
      </c>
      <c r="H466" s="44"/>
      <c r="I466" s="44"/>
      <c r="J466" s="44"/>
      <c r="K466" s="44"/>
      <c r="L466" s="45">
        <f>G466*F466</f>
        <v>360</v>
      </c>
    </row>
    <row r="467" spans="1:12" x14ac:dyDescent="0.25">
      <c r="A467" s="28"/>
      <c r="B467" s="29"/>
      <c r="C467" s="36"/>
      <c r="D467" s="30"/>
      <c r="E467" s="29"/>
      <c r="F467" s="44"/>
      <c r="G467" s="44"/>
      <c r="H467" s="44"/>
      <c r="I467" s="44"/>
      <c r="J467" s="44"/>
      <c r="K467" s="44"/>
      <c r="L467" s="45"/>
    </row>
    <row r="468" spans="1:12" ht="56.25" x14ac:dyDescent="0.25">
      <c r="A468" s="28" t="s">
        <v>232</v>
      </c>
      <c r="B468" s="29" t="s">
        <v>37</v>
      </c>
      <c r="C468" s="36" t="s">
        <v>369</v>
      </c>
      <c r="D468" s="30" t="s">
        <v>38</v>
      </c>
      <c r="E468" s="29" t="s">
        <v>33</v>
      </c>
      <c r="F468" s="44"/>
      <c r="G468" s="44">
        <v>60</v>
      </c>
      <c r="H468" s="44"/>
      <c r="I468" s="44">
        <v>2</v>
      </c>
      <c r="J468" s="44"/>
      <c r="K468" s="44"/>
      <c r="L468" s="45">
        <f>G468*I468</f>
        <v>120</v>
      </c>
    </row>
    <row r="469" spans="1:12" x14ac:dyDescent="0.25">
      <c r="A469" s="28"/>
      <c r="B469" s="29"/>
      <c r="C469" s="36"/>
      <c r="D469" s="30"/>
      <c r="E469" s="29"/>
      <c r="F469" s="44"/>
      <c r="G469" s="44"/>
      <c r="H469" s="44"/>
      <c r="I469" s="44"/>
      <c r="J469" s="44"/>
      <c r="K469" s="44"/>
      <c r="L469" s="54"/>
    </row>
    <row r="470" spans="1:12" ht="33.75" x14ac:dyDescent="0.25">
      <c r="A470" s="28" t="s">
        <v>233</v>
      </c>
      <c r="B470" s="29" t="s">
        <v>40</v>
      </c>
      <c r="C470" s="36" t="s">
        <v>465</v>
      </c>
      <c r="D470" s="30" t="s">
        <v>41</v>
      </c>
      <c r="E470" s="29" t="s">
        <v>33</v>
      </c>
      <c r="F470" s="44"/>
      <c r="G470" s="44">
        <v>60</v>
      </c>
      <c r="H470" s="44"/>
      <c r="I470" s="44">
        <v>2</v>
      </c>
      <c r="J470" s="44"/>
      <c r="K470" s="44"/>
      <c r="L470" s="45">
        <f>G470*I470</f>
        <v>120</v>
      </c>
    </row>
    <row r="471" spans="1:12" x14ac:dyDescent="0.25">
      <c r="A471" s="28"/>
      <c r="B471" s="29"/>
      <c r="C471" s="36"/>
      <c r="D471" s="30"/>
      <c r="E471" s="29"/>
      <c r="F471" s="44"/>
      <c r="G471" s="44"/>
      <c r="H471" s="44"/>
      <c r="I471" s="44"/>
      <c r="J471" s="44"/>
      <c r="K471" s="44"/>
      <c r="L471" s="45"/>
    </row>
    <row r="472" spans="1:12" ht="33.75" x14ac:dyDescent="0.25">
      <c r="A472" s="28" t="s">
        <v>234</v>
      </c>
      <c r="B472" s="29" t="s">
        <v>43</v>
      </c>
      <c r="C472" s="36" t="s">
        <v>19</v>
      </c>
      <c r="D472" s="30" t="s">
        <v>44</v>
      </c>
      <c r="E472" s="29" t="s">
        <v>27</v>
      </c>
      <c r="F472" s="44">
        <v>6</v>
      </c>
      <c r="G472" s="44">
        <v>60</v>
      </c>
      <c r="H472" s="44"/>
      <c r="I472" s="44"/>
      <c r="J472" s="44"/>
      <c r="K472" s="44"/>
      <c r="L472" s="45">
        <f>G472*F472</f>
        <v>360</v>
      </c>
    </row>
    <row r="473" spans="1:12" x14ac:dyDescent="0.25">
      <c r="A473" s="56"/>
      <c r="B473" s="57"/>
      <c r="C473" s="57"/>
      <c r="D473" s="57"/>
      <c r="E473" s="57"/>
      <c r="F473" s="57"/>
      <c r="G473" s="57"/>
      <c r="H473" s="57"/>
      <c r="I473" s="57"/>
      <c r="J473" s="57"/>
      <c r="K473" s="57"/>
      <c r="L473" s="58"/>
    </row>
    <row r="474" spans="1:12" ht="33.75" x14ac:dyDescent="0.25">
      <c r="A474" s="38" t="s">
        <v>236</v>
      </c>
      <c r="B474" s="52"/>
      <c r="C474" s="53"/>
      <c r="D474" s="41" t="s">
        <v>241</v>
      </c>
      <c r="E474" s="52"/>
      <c r="F474" s="42"/>
      <c r="G474" s="42"/>
      <c r="H474" s="42"/>
      <c r="I474" s="42"/>
      <c r="J474" s="42"/>
      <c r="K474" s="42"/>
      <c r="L474" s="43"/>
    </row>
    <row r="475" spans="1:12" ht="22.5" x14ac:dyDescent="0.25">
      <c r="A475" s="28" t="s">
        <v>237</v>
      </c>
      <c r="B475" s="29" t="s">
        <v>468</v>
      </c>
      <c r="C475" s="36" t="s">
        <v>464</v>
      </c>
      <c r="D475" s="30" t="s">
        <v>469</v>
      </c>
      <c r="E475" s="29" t="s">
        <v>27</v>
      </c>
      <c r="F475" s="44">
        <v>6</v>
      </c>
      <c r="G475" s="44">
        <f>(2*20)+6.97</f>
        <v>46.97</v>
      </c>
      <c r="H475" s="44"/>
      <c r="I475" s="44"/>
      <c r="J475" s="44"/>
      <c r="K475" s="44"/>
      <c r="L475" s="45">
        <f>G475*F475</f>
        <v>281.82</v>
      </c>
    </row>
    <row r="476" spans="1:12" x14ac:dyDescent="0.25">
      <c r="A476" s="28"/>
      <c r="B476" s="29"/>
      <c r="C476" s="36"/>
      <c r="D476" s="30"/>
      <c r="E476" s="29"/>
      <c r="F476" s="44"/>
      <c r="G476" s="44"/>
      <c r="H476" s="44"/>
      <c r="I476" s="44"/>
      <c r="J476" s="44"/>
      <c r="K476" s="44"/>
      <c r="L476" s="45"/>
    </row>
    <row r="477" spans="1:12" ht="56.25" x14ac:dyDescent="0.25">
      <c r="A477" s="28" t="s">
        <v>238</v>
      </c>
      <c r="B477" s="29" t="s">
        <v>37</v>
      </c>
      <c r="C477" s="36" t="s">
        <v>369</v>
      </c>
      <c r="D477" s="30" t="s">
        <v>38</v>
      </c>
      <c r="E477" s="29" t="s">
        <v>33</v>
      </c>
      <c r="F477" s="44"/>
      <c r="G477" s="44">
        <v>46.97</v>
      </c>
      <c r="H477" s="44"/>
      <c r="I477" s="44">
        <v>2</v>
      </c>
      <c r="J477" s="44"/>
      <c r="K477" s="44"/>
      <c r="L477" s="45">
        <f>G477*I477</f>
        <v>93.94</v>
      </c>
    </row>
    <row r="478" spans="1:12" x14ac:dyDescent="0.25">
      <c r="A478" s="28"/>
      <c r="B478" s="29"/>
      <c r="C478" s="36"/>
      <c r="D478" s="30"/>
      <c r="E478" s="29"/>
      <c r="F478" s="44"/>
      <c r="G478" s="44"/>
      <c r="H478" s="44"/>
      <c r="I478" s="44"/>
      <c r="J478" s="44"/>
      <c r="K478" s="44"/>
      <c r="L478" s="54"/>
    </row>
    <row r="479" spans="1:12" ht="33.75" x14ac:dyDescent="0.25">
      <c r="A479" s="28" t="s">
        <v>239</v>
      </c>
      <c r="B479" s="29" t="s">
        <v>40</v>
      </c>
      <c r="C479" s="36" t="s">
        <v>465</v>
      </c>
      <c r="D479" s="30" t="s">
        <v>41</v>
      </c>
      <c r="E479" s="29" t="s">
        <v>33</v>
      </c>
      <c r="F479" s="44"/>
      <c r="G479" s="44">
        <v>46.97</v>
      </c>
      <c r="H479" s="44"/>
      <c r="I479" s="44">
        <v>2</v>
      </c>
      <c r="J479" s="44"/>
      <c r="K479" s="44"/>
      <c r="L479" s="45">
        <f>G479*I479</f>
        <v>93.94</v>
      </c>
    </row>
    <row r="480" spans="1:12" x14ac:dyDescent="0.25">
      <c r="A480" s="28"/>
      <c r="B480" s="29"/>
      <c r="C480" s="36"/>
      <c r="D480" s="30"/>
      <c r="E480" s="29"/>
      <c r="F480" s="44"/>
      <c r="G480" s="44"/>
      <c r="H480" s="44"/>
      <c r="I480" s="44"/>
      <c r="J480" s="44"/>
      <c r="K480" s="44"/>
      <c r="L480" s="45"/>
    </row>
    <row r="481" spans="1:12" ht="33.75" x14ac:dyDescent="0.25">
      <c r="A481" s="28" t="s">
        <v>240</v>
      </c>
      <c r="B481" s="29" t="s">
        <v>43</v>
      </c>
      <c r="C481" s="36" t="s">
        <v>19</v>
      </c>
      <c r="D481" s="30" t="s">
        <v>44</v>
      </c>
      <c r="E481" s="29" t="s">
        <v>27</v>
      </c>
      <c r="F481" s="44">
        <v>6</v>
      </c>
      <c r="G481" s="44">
        <v>46.97</v>
      </c>
      <c r="H481" s="44"/>
      <c r="I481" s="44"/>
      <c r="J481" s="44"/>
      <c r="K481" s="44"/>
      <c r="L481" s="45">
        <f>G481*F481</f>
        <v>281.82</v>
      </c>
    </row>
    <row r="482" spans="1:12" ht="15.75" thickBot="1" x14ac:dyDescent="0.3">
      <c r="A482" s="59"/>
      <c r="B482" s="60"/>
      <c r="C482" s="60"/>
      <c r="D482" s="60"/>
      <c r="E482" s="60"/>
      <c r="F482" s="60"/>
      <c r="G482" s="60"/>
      <c r="H482" s="60"/>
      <c r="I482" s="60"/>
      <c r="J482" s="60"/>
      <c r="K482" s="60"/>
      <c r="L482" s="61"/>
    </row>
  </sheetData>
  <mergeCells count="3">
    <mergeCell ref="A2:L2"/>
    <mergeCell ref="F8:K8"/>
    <mergeCell ref="L8:L9"/>
  </mergeCells>
  <printOptions horizontalCentered="1"/>
  <pageMargins left="0.51181102362204722" right="0.51181102362204722" top="0.98425196850393704" bottom="0.78740157480314965" header="0.19685039370078741" footer="0.19685039370078741"/>
  <pageSetup paperSize="9" scale="9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FAF5-521E-4E81-86C4-323AE9C8F865}">
  <dimension ref="A1:Z71"/>
  <sheetViews>
    <sheetView topLeftCell="J9" workbookViewId="0">
      <selection activeCell="U14" sqref="U14"/>
    </sheetView>
  </sheetViews>
  <sheetFormatPr defaultRowHeight="15" x14ac:dyDescent="0.25"/>
  <cols>
    <col min="1" max="4" width="5.7109375" style="89" hidden="1" customWidth="1"/>
    <col min="5" max="5" width="11.28515625" style="89" hidden="1" customWidth="1"/>
    <col min="6" max="6" width="11.42578125" style="89" hidden="1" customWidth="1"/>
    <col min="7" max="7" width="11.85546875" style="89" hidden="1" customWidth="1"/>
    <col min="8" max="8" width="10.7109375" hidden="1" customWidth="1"/>
    <col min="9" max="9" width="3.7109375" hidden="1" customWidth="1"/>
    <col min="10" max="15" width="10.7109375" style="89" customWidth="1"/>
    <col min="16" max="16" width="12.85546875" style="89" customWidth="1"/>
    <col min="17" max="17" width="8.5703125" style="89" customWidth="1"/>
    <col min="18" max="19" width="10.7109375" style="89" customWidth="1"/>
    <col min="257" max="263" width="0" hidden="1" customWidth="1"/>
    <col min="264" max="264" width="10.7109375" customWidth="1"/>
    <col min="265" max="265" width="3.7109375" customWidth="1"/>
    <col min="266" max="271" width="10.7109375" customWidth="1"/>
    <col min="272" max="272" width="12.85546875" customWidth="1"/>
    <col min="273" max="275" width="10.7109375" customWidth="1"/>
    <col min="513" max="519" width="0" hidden="1" customWidth="1"/>
    <col min="520" max="520" width="10.7109375" customWidth="1"/>
    <col min="521" max="521" width="3.7109375" customWidth="1"/>
    <col min="522" max="527" width="10.7109375" customWidth="1"/>
    <col min="528" max="528" width="12.85546875" customWidth="1"/>
    <col min="529" max="531" width="10.7109375" customWidth="1"/>
    <col min="769" max="775" width="0" hidden="1" customWidth="1"/>
    <col min="776" max="776" width="10.7109375" customWidth="1"/>
    <col min="777" max="777" width="3.7109375" customWidth="1"/>
    <col min="778" max="783" width="10.7109375" customWidth="1"/>
    <col min="784" max="784" width="12.85546875" customWidth="1"/>
    <col min="785" max="787" width="10.7109375" customWidth="1"/>
    <col min="1025" max="1031" width="0" hidden="1" customWidth="1"/>
    <col min="1032" max="1032" width="10.7109375" customWidth="1"/>
    <col min="1033" max="1033" width="3.7109375" customWidth="1"/>
    <col min="1034" max="1039" width="10.7109375" customWidth="1"/>
    <col min="1040" max="1040" width="12.85546875" customWidth="1"/>
    <col min="1041" max="1043" width="10.7109375" customWidth="1"/>
    <col min="1281" max="1287" width="0" hidden="1" customWidth="1"/>
    <col min="1288" max="1288" width="10.7109375" customWidth="1"/>
    <col min="1289" max="1289" width="3.7109375" customWidth="1"/>
    <col min="1290" max="1295" width="10.7109375" customWidth="1"/>
    <col min="1296" max="1296" width="12.85546875" customWidth="1"/>
    <col min="1297" max="1299" width="10.7109375" customWidth="1"/>
    <col min="1537" max="1543" width="0" hidden="1" customWidth="1"/>
    <col min="1544" max="1544" width="10.7109375" customWidth="1"/>
    <col min="1545" max="1545" width="3.7109375" customWidth="1"/>
    <col min="1546" max="1551" width="10.7109375" customWidth="1"/>
    <col min="1552" max="1552" width="12.85546875" customWidth="1"/>
    <col min="1553" max="1555" width="10.7109375" customWidth="1"/>
    <col min="1793" max="1799" width="0" hidden="1" customWidth="1"/>
    <col min="1800" max="1800" width="10.7109375" customWidth="1"/>
    <col min="1801" max="1801" width="3.7109375" customWidth="1"/>
    <col min="1802" max="1807" width="10.7109375" customWidth="1"/>
    <col min="1808" max="1808" width="12.85546875" customWidth="1"/>
    <col min="1809" max="1811" width="10.7109375" customWidth="1"/>
    <col min="2049" max="2055" width="0" hidden="1" customWidth="1"/>
    <col min="2056" max="2056" width="10.7109375" customWidth="1"/>
    <col min="2057" max="2057" width="3.7109375" customWidth="1"/>
    <col min="2058" max="2063" width="10.7109375" customWidth="1"/>
    <col min="2064" max="2064" width="12.85546875" customWidth="1"/>
    <col min="2065" max="2067" width="10.7109375" customWidth="1"/>
    <col min="2305" max="2311" width="0" hidden="1" customWidth="1"/>
    <col min="2312" max="2312" width="10.7109375" customWidth="1"/>
    <col min="2313" max="2313" width="3.7109375" customWidth="1"/>
    <col min="2314" max="2319" width="10.7109375" customWidth="1"/>
    <col min="2320" max="2320" width="12.85546875" customWidth="1"/>
    <col min="2321" max="2323" width="10.7109375" customWidth="1"/>
    <col min="2561" max="2567" width="0" hidden="1" customWidth="1"/>
    <col min="2568" max="2568" width="10.7109375" customWidth="1"/>
    <col min="2569" max="2569" width="3.7109375" customWidth="1"/>
    <col min="2570" max="2575" width="10.7109375" customWidth="1"/>
    <col min="2576" max="2576" width="12.85546875" customWidth="1"/>
    <col min="2577" max="2579" width="10.7109375" customWidth="1"/>
    <col min="2817" max="2823" width="0" hidden="1" customWidth="1"/>
    <col min="2824" max="2824" width="10.7109375" customWidth="1"/>
    <col min="2825" max="2825" width="3.7109375" customWidth="1"/>
    <col min="2826" max="2831" width="10.7109375" customWidth="1"/>
    <col min="2832" max="2832" width="12.85546875" customWidth="1"/>
    <col min="2833" max="2835" width="10.7109375" customWidth="1"/>
    <col min="3073" max="3079" width="0" hidden="1" customWidth="1"/>
    <col min="3080" max="3080" width="10.7109375" customWidth="1"/>
    <col min="3081" max="3081" width="3.7109375" customWidth="1"/>
    <col min="3082" max="3087" width="10.7109375" customWidth="1"/>
    <col min="3088" max="3088" width="12.85546875" customWidth="1"/>
    <col min="3089" max="3091" width="10.7109375" customWidth="1"/>
    <col min="3329" max="3335" width="0" hidden="1" customWidth="1"/>
    <col min="3336" max="3336" width="10.7109375" customWidth="1"/>
    <col min="3337" max="3337" width="3.7109375" customWidth="1"/>
    <col min="3338" max="3343" width="10.7109375" customWidth="1"/>
    <col min="3344" max="3344" width="12.85546875" customWidth="1"/>
    <col min="3345" max="3347" width="10.7109375" customWidth="1"/>
    <col min="3585" max="3591" width="0" hidden="1" customWidth="1"/>
    <col min="3592" max="3592" width="10.7109375" customWidth="1"/>
    <col min="3593" max="3593" width="3.7109375" customWidth="1"/>
    <col min="3594" max="3599" width="10.7109375" customWidth="1"/>
    <col min="3600" max="3600" width="12.85546875" customWidth="1"/>
    <col min="3601" max="3603" width="10.7109375" customWidth="1"/>
    <col min="3841" max="3847" width="0" hidden="1" customWidth="1"/>
    <col min="3848" max="3848" width="10.7109375" customWidth="1"/>
    <col min="3849" max="3849" width="3.7109375" customWidth="1"/>
    <col min="3850" max="3855" width="10.7109375" customWidth="1"/>
    <col min="3856" max="3856" width="12.85546875" customWidth="1"/>
    <col min="3857" max="3859" width="10.7109375" customWidth="1"/>
    <col min="4097" max="4103" width="0" hidden="1" customWidth="1"/>
    <col min="4104" max="4104" width="10.7109375" customWidth="1"/>
    <col min="4105" max="4105" width="3.7109375" customWidth="1"/>
    <col min="4106" max="4111" width="10.7109375" customWidth="1"/>
    <col min="4112" max="4112" width="12.85546875" customWidth="1"/>
    <col min="4113" max="4115" width="10.7109375" customWidth="1"/>
    <col min="4353" max="4359" width="0" hidden="1" customWidth="1"/>
    <col min="4360" max="4360" width="10.7109375" customWidth="1"/>
    <col min="4361" max="4361" width="3.7109375" customWidth="1"/>
    <col min="4362" max="4367" width="10.7109375" customWidth="1"/>
    <col min="4368" max="4368" width="12.85546875" customWidth="1"/>
    <col min="4369" max="4371" width="10.7109375" customWidth="1"/>
    <col min="4609" max="4615" width="0" hidden="1" customWidth="1"/>
    <col min="4616" max="4616" width="10.7109375" customWidth="1"/>
    <col min="4617" max="4617" width="3.7109375" customWidth="1"/>
    <col min="4618" max="4623" width="10.7109375" customWidth="1"/>
    <col min="4624" max="4624" width="12.85546875" customWidth="1"/>
    <col min="4625" max="4627" width="10.7109375" customWidth="1"/>
    <col min="4865" max="4871" width="0" hidden="1" customWidth="1"/>
    <col min="4872" max="4872" width="10.7109375" customWidth="1"/>
    <col min="4873" max="4873" width="3.7109375" customWidth="1"/>
    <col min="4874" max="4879" width="10.7109375" customWidth="1"/>
    <col min="4880" max="4880" width="12.85546875" customWidth="1"/>
    <col min="4881" max="4883" width="10.7109375" customWidth="1"/>
    <col min="5121" max="5127" width="0" hidden="1" customWidth="1"/>
    <col min="5128" max="5128" width="10.7109375" customWidth="1"/>
    <col min="5129" max="5129" width="3.7109375" customWidth="1"/>
    <col min="5130" max="5135" width="10.7109375" customWidth="1"/>
    <col min="5136" max="5136" width="12.85546875" customWidth="1"/>
    <col min="5137" max="5139" width="10.7109375" customWidth="1"/>
    <col min="5377" max="5383" width="0" hidden="1" customWidth="1"/>
    <col min="5384" max="5384" width="10.7109375" customWidth="1"/>
    <col min="5385" max="5385" width="3.7109375" customWidth="1"/>
    <col min="5386" max="5391" width="10.7109375" customWidth="1"/>
    <col min="5392" max="5392" width="12.85546875" customWidth="1"/>
    <col min="5393" max="5395" width="10.7109375" customWidth="1"/>
    <col min="5633" max="5639" width="0" hidden="1" customWidth="1"/>
    <col min="5640" max="5640" width="10.7109375" customWidth="1"/>
    <col min="5641" max="5641" width="3.7109375" customWidth="1"/>
    <col min="5642" max="5647" width="10.7109375" customWidth="1"/>
    <col min="5648" max="5648" width="12.85546875" customWidth="1"/>
    <col min="5649" max="5651" width="10.7109375" customWidth="1"/>
    <col min="5889" max="5895" width="0" hidden="1" customWidth="1"/>
    <col min="5896" max="5896" width="10.7109375" customWidth="1"/>
    <col min="5897" max="5897" width="3.7109375" customWidth="1"/>
    <col min="5898" max="5903" width="10.7109375" customWidth="1"/>
    <col min="5904" max="5904" width="12.85546875" customWidth="1"/>
    <col min="5905" max="5907" width="10.7109375" customWidth="1"/>
    <col min="6145" max="6151" width="0" hidden="1" customWidth="1"/>
    <col min="6152" max="6152" width="10.7109375" customWidth="1"/>
    <col min="6153" max="6153" width="3.7109375" customWidth="1"/>
    <col min="6154" max="6159" width="10.7109375" customWidth="1"/>
    <col min="6160" max="6160" width="12.85546875" customWidth="1"/>
    <col min="6161" max="6163" width="10.7109375" customWidth="1"/>
    <col min="6401" max="6407" width="0" hidden="1" customWidth="1"/>
    <col min="6408" max="6408" width="10.7109375" customWidth="1"/>
    <col min="6409" max="6409" width="3.7109375" customWidth="1"/>
    <col min="6410" max="6415" width="10.7109375" customWidth="1"/>
    <col min="6416" max="6416" width="12.85546875" customWidth="1"/>
    <col min="6417" max="6419" width="10.7109375" customWidth="1"/>
    <col min="6657" max="6663" width="0" hidden="1" customWidth="1"/>
    <col min="6664" max="6664" width="10.7109375" customWidth="1"/>
    <col min="6665" max="6665" width="3.7109375" customWidth="1"/>
    <col min="6666" max="6671" width="10.7109375" customWidth="1"/>
    <col min="6672" max="6672" width="12.85546875" customWidth="1"/>
    <col min="6673" max="6675" width="10.7109375" customWidth="1"/>
    <col min="6913" max="6919" width="0" hidden="1" customWidth="1"/>
    <col min="6920" max="6920" width="10.7109375" customWidth="1"/>
    <col min="6921" max="6921" width="3.7109375" customWidth="1"/>
    <col min="6922" max="6927" width="10.7109375" customWidth="1"/>
    <col min="6928" max="6928" width="12.85546875" customWidth="1"/>
    <col min="6929" max="6931" width="10.7109375" customWidth="1"/>
    <col min="7169" max="7175" width="0" hidden="1" customWidth="1"/>
    <col min="7176" max="7176" width="10.7109375" customWidth="1"/>
    <col min="7177" max="7177" width="3.7109375" customWidth="1"/>
    <col min="7178" max="7183" width="10.7109375" customWidth="1"/>
    <col min="7184" max="7184" width="12.85546875" customWidth="1"/>
    <col min="7185" max="7187" width="10.7109375" customWidth="1"/>
    <col min="7425" max="7431" width="0" hidden="1" customWidth="1"/>
    <col min="7432" max="7432" width="10.7109375" customWidth="1"/>
    <col min="7433" max="7433" width="3.7109375" customWidth="1"/>
    <col min="7434" max="7439" width="10.7109375" customWidth="1"/>
    <col min="7440" max="7440" width="12.85546875" customWidth="1"/>
    <col min="7441" max="7443" width="10.7109375" customWidth="1"/>
    <col min="7681" max="7687" width="0" hidden="1" customWidth="1"/>
    <col min="7688" max="7688" width="10.7109375" customWidth="1"/>
    <col min="7689" max="7689" width="3.7109375" customWidth="1"/>
    <col min="7690" max="7695" width="10.7109375" customWidth="1"/>
    <col min="7696" max="7696" width="12.85546875" customWidth="1"/>
    <col min="7697" max="7699" width="10.7109375" customWidth="1"/>
    <col min="7937" max="7943" width="0" hidden="1" customWidth="1"/>
    <col min="7944" max="7944" width="10.7109375" customWidth="1"/>
    <col min="7945" max="7945" width="3.7109375" customWidth="1"/>
    <col min="7946" max="7951" width="10.7109375" customWidth="1"/>
    <col min="7952" max="7952" width="12.85546875" customWidth="1"/>
    <col min="7953" max="7955" width="10.7109375" customWidth="1"/>
    <col min="8193" max="8199" width="0" hidden="1" customWidth="1"/>
    <col min="8200" max="8200" width="10.7109375" customWidth="1"/>
    <col min="8201" max="8201" width="3.7109375" customWidth="1"/>
    <col min="8202" max="8207" width="10.7109375" customWidth="1"/>
    <col min="8208" max="8208" width="12.85546875" customWidth="1"/>
    <col min="8209" max="8211" width="10.7109375" customWidth="1"/>
    <col min="8449" max="8455" width="0" hidden="1" customWidth="1"/>
    <col min="8456" max="8456" width="10.7109375" customWidth="1"/>
    <col min="8457" max="8457" width="3.7109375" customWidth="1"/>
    <col min="8458" max="8463" width="10.7109375" customWidth="1"/>
    <col min="8464" max="8464" width="12.85546875" customWidth="1"/>
    <col min="8465" max="8467" width="10.7109375" customWidth="1"/>
    <col min="8705" max="8711" width="0" hidden="1" customWidth="1"/>
    <col min="8712" max="8712" width="10.7109375" customWidth="1"/>
    <col min="8713" max="8713" width="3.7109375" customWidth="1"/>
    <col min="8714" max="8719" width="10.7109375" customWidth="1"/>
    <col min="8720" max="8720" width="12.85546875" customWidth="1"/>
    <col min="8721" max="8723" width="10.7109375" customWidth="1"/>
    <col min="8961" max="8967" width="0" hidden="1" customWidth="1"/>
    <col min="8968" max="8968" width="10.7109375" customWidth="1"/>
    <col min="8969" max="8969" width="3.7109375" customWidth="1"/>
    <col min="8970" max="8975" width="10.7109375" customWidth="1"/>
    <col min="8976" max="8976" width="12.85546875" customWidth="1"/>
    <col min="8977" max="8979" width="10.7109375" customWidth="1"/>
    <col min="9217" max="9223" width="0" hidden="1" customWidth="1"/>
    <col min="9224" max="9224" width="10.7109375" customWidth="1"/>
    <col min="9225" max="9225" width="3.7109375" customWidth="1"/>
    <col min="9226" max="9231" width="10.7109375" customWidth="1"/>
    <col min="9232" max="9232" width="12.85546875" customWidth="1"/>
    <col min="9233" max="9235" width="10.7109375" customWidth="1"/>
    <col min="9473" max="9479" width="0" hidden="1" customWidth="1"/>
    <col min="9480" max="9480" width="10.7109375" customWidth="1"/>
    <col min="9481" max="9481" width="3.7109375" customWidth="1"/>
    <col min="9482" max="9487" width="10.7109375" customWidth="1"/>
    <col min="9488" max="9488" width="12.85546875" customWidth="1"/>
    <col min="9489" max="9491" width="10.7109375" customWidth="1"/>
    <col min="9729" max="9735" width="0" hidden="1" customWidth="1"/>
    <col min="9736" max="9736" width="10.7109375" customWidth="1"/>
    <col min="9737" max="9737" width="3.7109375" customWidth="1"/>
    <col min="9738" max="9743" width="10.7109375" customWidth="1"/>
    <col min="9744" max="9744" width="12.85546875" customWidth="1"/>
    <col min="9745" max="9747" width="10.7109375" customWidth="1"/>
    <col min="9985" max="9991" width="0" hidden="1" customWidth="1"/>
    <col min="9992" max="9992" width="10.7109375" customWidth="1"/>
    <col min="9993" max="9993" width="3.7109375" customWidth="1"/>
    <col min="9994" max="9999" width="10.7109375" customWidth="1"/>
    <col min="10000" max="10000" width="12.85546875" customWidth="1"/>
    <col min="10001" max="10003" width="10.7109375" customWidth="1"/>
    <col min="10241" max="10247" width="0" hidden="1" customWidth="1"/>
    <col min="10248" max="10248" width="10.7109375" customWidth="1"/>
    <col min="10249" max="10249" width="3.7109375" customWidth="1"/>
    <col min="10250" max="10255" width="10.7109375" customWidth="1"/>
    <col min="10256" max="10256" width="12.85546875" customWidth="1"/>
    <col min="10257" max="10259" width="10.7109375" customWidth="1"/>
    <col min="10497" max="10503" width="0" hidden="1" customWidth="1"/>
    <col min="10504" max="10504" width="10.7109375" customWidth="1"/>
    <col min="10505" max="10505" width="3.7109375" customWidth="1"/>
    <col min="10506" max="10511" width="10.7109375" customWidth="1"/>
    <col min="10512" max="10512" width="12.85546875" customWidth="1"/>
    <col min="10513" max="10515" width="10.7109375" customWidth="1"/>
    <col min="10753" max="10759" width="0" hidden="1" customWidth="1"/>
    <col min="10760" max="10760" width="10.7109375" customWidth="1"/>
    <col min="10761" max="10761" width="3.7109375" customWidth="1"/>
    <col min="10762" max="10767" width="10.7109375" customWidth="1"/>
    <col min="10768" max="10768" width="12.85546875" customWidth="1"/>
    <col min="10769" max="10771" width="10.7109375" customWidth="1"/>
    <col min="11009" max="11015" width="0" hidden="1" customWidth="1"/>
    <col min="11016" max="11016" width="10.7109375" customWidth="1"/>
    <col min="11017" max="11017" width="3.7109375" customWidth="1"/>
    <col min="11018" max="11023" width="10.7109375" customWidth="1"/>
    <col min="11024" max="11024" width="12.85546875" customWidth="1"/>
    <col min="11025" max="11027" width="10.7109375" customWidth="1"/>
    <col min="11265" max="11271" width="0" hidden="1" customWidth="1"/>
    <col min="11272" max="11272" width="10.7109375" customWidth="1"/>
    <col min="11273" max="11273" width="3.7109375" customWidth="1"/>
    <col min="11274" max="11279" width="10.7109375" customWidth="1"/>
    <col min="11280" max="11280" width="12.85546875" customWidth="1"/>
    <col min="11281" max="11283" width="10.7109375" customWidth="1"/>
    <col min="11521" max="11527" width="0" hidden="1" customWidth="1"/>
    <col min="11528" max="11528" width="10.7109375" customWidth="1"/>
    <col min="11529" max="11529" width="3.7109375" customWidth="1"/>
    <col min="11530" max="11535" width="10.7109375" customWidth="1"/>
    <col min="11536" max="11536" width="12.85546875" customWidth="1"/>
    <col min="11537" max="11539" width="10.7109375" customWidth="1"/>
    <col min="11777" max="11783" width="0" hidden="1" customWidth="1"/>
    <col min="11784" max="11784" width="10.7109375" customWidth="1"/>
    <col min="11785" max="11785" width="3.7109375" customWidth="1"/>
    <col min="11786" max="11791" width="10.7109375" customWidth="1"/>
    <col min="11792" max="11792" width="12.85546875" customWidth="1"/>
    <col min="11793" max="11795" width="10.7109375" customWidth="1"/>
    <col min="12033" max="12039" width="0" hidden="1" customWidth="1"/>
    <col min="12040" max="12040" width="10.7109375" customWidth="1"/>
    <col min="12041" max="12041" width="3.7109375" customWidth="1"/>
    <col min="12042" max="12047" width="10.7109375" customWidth="1"/>
    <col min="12048" max="12048" width="12.85546875" customWidth="1"/>
    <col min="12049" max="12051" width="10.7109375" customWidth="1"/>
    <col min="12289" max="12295" width="0" hidden="1" customWidth="1"/>
    <col min="12296" max="12296" width="10.7109375" customWidth="1"/>
    <col min="12297" max="12297" width="3.7109375" customWidth="1"/>
    <col min="12298" max="12303" width="10.7109375" customWidth="1"/>
    <col min="12304" max="12304" width="12.85546875" customWidth="1"/>
    <col min="12305" max="12307" width="10.7109375" customWidth="1"/>
    <col min="12545" max="12551" width="0" hidden="1" customWidth="1"/>
    <col min="12552" max="12552" width="10.7109375" customWidth="1"/>
    <col min="12553" max="12553" width="3.7109375" customWidth="1"/>
    <col min="12554" max="12559" width="10.7109375" customWidth="1"/>
    <col min="12560" max="12560" width="12.85546875" customWidth="1"/>
    <col min="12561" max="12563" width="10.7109375" customWidth="1"/>
    <col min="12801" max="12807" width="0" hidden="1" customWidth="1"/>
    <col min="12808" max="12808" width="10.7109375" customWidth="1"/>
    <col min="12809" max="12809" width="3.7109375" customWidth="1"/>
    <col min="12810" max="12815" width="10.7109375" customWidth="1"/>
    <col min="12816" max="12816" width="12.85546875" customWidth="1"/>
    <col min="12817" max="12819" width="10.7109375" customWidth="1"/>
    <col min="13057" max="13063" width="0" hidden="1" customWidth="1"/>
    <col min="13064" max="13064" width="10.7109375" customWidth="1"/>
    <col min="13065" max="13065" width="3.7109375" customWidth="1"/>
    <col min="13066" max="13071" width="10.7109375" customWidth="1"/>
    <col min="13072" max="13072" width="12.85546875" customWidth="1"/>
    <col min="13073" max="13075" width="10.7109375" customWidth="1"/>
    <col min="13313" max="13319" width="0" hidden="1" customWidth="1"/>
    <col min="13320" max="13320" width="10.7109375" customWidth="1"/>
    <col min="13321" max="13321" width="3.7109375" customWidth="1"/>
    <col min="13322" max="13327" width="10.7109375" customWidth="1"/>
    <col min="13328" max="13328" width="12.85546875" customWidth="1"/>
    <col min="13329" max="13331" width="10.7109375" customWidth="1"/>
    <col min="13569" max="13575" width="0" hidden="1" customWidth="1"/>
    <col min="13576" max="13576" width="10.7109375" customWidth="1"/>
    <col min="13577" max="13577" width="3.7109375" customWidth="1"/>
    <col min="13578" max="13583" width="10.7109375" customWidth="1"/>
    <col min="13584" max="13584" width="12.85546875" customWidth="1"/>
    <col min="13585" max="13587" width="10.7109375" customWidth="1"/>
    <col min="13825" max="13831" width="0" hidden="1" customWidth="1"/>
    <col min="13832" max="13832" width="10.7109375" customWidth="1"/>
    <col min="13833" max="13833" width="3.7109375" customWidth="1"/>
    <col min="13834" max="13839" width="10.7109375" customWidth="1"/>
    <col min="13840" max="13840" width="12.85546875" customWidth="1"/>
    <col min="13841" max="13843" width="10.7109375" customWidth="1"/>
    <col min="14081" max="14087" width="0" hidden="1" customWidth="1"/>
    <col min="14088" max="14088" width="10.7109375" customWidth="1"/>
    <col min="14089" max="14089" width="3.7109375" customWidth="1"/>
    <col min="14090" max="14095" width="10.7109375" customWidth="1"/>
    <col min="14096" max="14096" width="12.85546875" customWidth="1"/>
    <col min="14097" max="14099" width="10.7109375" customWidth="1"/>
    <col min="14337" max="14343" width="0" hidden="1" customWidth="1"/>
    <col min="14344" max="14344" width="10.7109375" customWidth="1"/>
    <col min="14345" max="14345" width="3.7109375" customWidth="1"/>
    <col min="14346" max="14351" width="10.7109375" customWidth="1"/>
    <col min="14352" max="14352" width="12.85546875" customWidth="1"/>
    <col min="14353" max="14355" width="10.7109375" customWidth="1"/>
    <col min="14593" max="14599" width="0" hidden="1" customWidth="1"/>
    <col min="14600" max="14600" width="10.7109375" customWidth="1"/>
    <col min="14601" max="14601" width="3.7109375" customWidth="1"/>
    <col min="14602" max="14607" width="10.7109375" customWidth="1"/>
    <col min="14608" max="14608" width="12.85546875" customWidth="1"/>
    <col min="14609" max="14611" width="10.7109375" customWidth="1"/>
    <col min="14849" max="14855" width="0" hidden="1" customWidth="1"/>
    <col min="14856" max="14856" width="10.7109375" customWidth="1"/>
    <col min="14857" max="14857" width="3.7109375" customWidth="1"/>
    <col min="14858" max="14863" width="10.7109375" customWidth="1"/>
    <col min="14864" max="14864" width="12.85546875" customWidth="1"/>
    <col min="14865" max="14867" width="10.7109375" customWidth="1"/>
    <col min="15105" max="15111" width="0" hidden="1" customWidth="1"/>
    <col min="15112" max="15112" width="10.7109375" customWidth="1"/>
    <col min="15113" max="15113" width="3.7109375" customWidth="1"/>
    <col min="15114" max="15119" width="10.7109375" customWidth="1"/>
    <col min="15120" max="15120" width="12.85546875" customWidth="1"/>
    <col min="15121" max="15123" width="10.7109375" customWidth="1"/>
    <col min="15361" max="15367" width="0" hidden="1" customWidth="1"/>
    <col min="15368" max="15368" width="10.7109375" customWidth="1"/>
    <col min="15369" max="15369" width="3.7109375" customWidth="1"/>
    <col min="15370" max="15375" width="10.7109375" customWidth="1"/>
    <col min="15376" max="15376" width="12.85546875" customWidth="1"/>
    <col min="15377" max="15379" width="10.7109375" customWidth="1"/>
    <col min="15617" max="15623" width="0" hidden="1" customWidth="1"/>
    <col min="15624" max="15624" width="10.7109375" customWidth="1"/>
    <col min="15625" max="15625" width="3.7109375" customWidth="1"/>
    <col min="15626" max="15631" width="10.7109375" customWidth="1"/>
    <col min="15632" max="15632" width="12.85546875" customWidth="1"/>
    <col min="15633" max="15635" width="10.7109375" customWidth="1"/>
    <col min="15873" max="15879" width="0" hidden="1" customWidth="1"/>
    <col min="15880" max="15880" width="10.7109375" customWidth="1"/>
    <col min="15881" max="15881" width="3.7109375" customWidth="1"/>
    <col min="15882" max="15887" width="10.7109375" customWidth="1"/>
    <col min="15888" max="15888" width="12.85546875" customWidth="1"/>
    <col min="15889" max="15891" width="10.7109375" customWidth="1"/>
    <col min="16129" max="16135" width="0" hidden="1" customWidth="1"/>
    <col min="16136" max="16136" width="10.7109375" customWidth="1"/>
    <col min="16137" max="16137" width="3.7109375" customWidth="1"/>
    <col min="16138" max="16143" width="10.7109375" customWidth="1"/>
    <col min="16144" max="16144" width="12.85546875" customWidth="1"/>
    <col min="16145" max="16147" width="10.7109375" customWidth="1"/>
  </cols>
  <sheetData>
    <row r="1" spans="1:19" ht="15.75" hidden="1" x14ac:dyDescent="0.25">
      <c r="E1" s="90" t="s">
        <v>477</v>
      </c>
      <c r="F1" s="90" t="s">
        <v>478</v>
      </c>
      <c r="G1" s="90" t="s">
        <v>479</v>
      </c>
      <c r="O1" s="91" t="str">
        <f>"Quadro de Composição do BDI"</f>
        <v>Quadro de Composição do BDI</v>
      </c>
      <c r="R1" s="413" t="s">
        <v>480</v>
      </c>
      <c r="S1" s="414"/>
    </row>
    <row r="2" spans="1:19" hidden="1" x14ac:dyDescent="0.25">
      <c r="A2" s="89" t="s">
        <v>481</v>
      </c>
      <c r="B2" s="92" t="s">
        <v>482</v>
      </c>
      <c r="C2" s="89" t="str">
        <f t="shared" ref="C2:C57" si="0">CONCATENATE(A2,"-",B2)</f>
        <v>Construção e Reforma de Edifícios-AC</v>
      </c>
      <c r="E2" s="93">
        <v>0.03</v>
      </c>
      <c r="F2" s="93">
        <v>0.04</v>
      </c>
      <c r="G2" s="93">
        <v>5.5E-2</v>
      </c>
      <c r="R2" s="415" t="s">
        <v>483</v>
      </c>
      <c r="S2" s="416"/>
    </row>
    <row r="3" spans="1:19" hidden="1" x14ac:dyDescent="0.25">
      <c r="A3" s="89" t="str">
        <f>A2</f>
        <v>Construção e Reforma de Edifícios</v>
      </c>
      <c r="B3" s="92" t="s">
        <v>484</v>
      </c>
      <c r="C3" s="89" t="str">
        <f t="shared" si="0"/>
        <v>Construção e Reforma de Edifícios-SG</v>
      </c>
      <c r="E3" s="93">
        <v>8.0000000000000002E-3</v>
      </c>
      <c r="F3" s="93">
        <v>8.0000000000000002E-3</v>
      </c>
      <c r="G3" s="93">
        <v>0.01</v>
      </c>
    </row>
    <row r="4" spans="1:19" hidden="1" x14ac:dyDescent="0.25">
      <c r="A4" s="89" t="str">
        <f>A3</f>
        <v>Construção e Reforma de Edifícios</v>
      </c>
      <c r="B4" s="92" t="s">
        <v>485</v>
      </c>
      <c r="C4" s="89" t="str">
        <f t="shared" si="0"/>
        <v>Construção e Reforma de Edifícios-R</v>
      </c>
      <c r="E4" s="93">
        <v>9.7000000000000003E-3</v>
      </c>
      <c r="F4" s="93">
        <v>1.2699999999999999E-2</v>
      </c>
      <c r="G4" s="93">
        <v>1.2699999999999999E-2</v>
      </c>
      <c r="J4" s="417" t="s">
        <v>486</v>
      </c>
      <c r="K4" s="418"/>
      <c r="L4" s="417" t="s">
        <v>487</v>
      </c>
      <c r="M4" s="418"/>
      <c r="N4" s="417" t="s">
        <v>488</v>
      </c>
      <c r="O4" s="419"/>
      <c r="P4" s="419"/>
      <c r="Q4" s="419"/>
      <c r="R4" s="419"/>
      <c r="S4" s="418"/>
    </row>
    <row r="5" spans="1:19" hidden="1" x14ac:dyDescent="0.25">
      <c r="A5" s="89" t="str">
        <f>A4</f>
        <v>Construção e Reforma de Edifícios</v>
      </c>
      <c r="B5" s="92" t="s">
        <v>489</v>
      </c>
      <c r="C5" s="89" t="str">
        <f t="shared" si="0"/>
        <v>Construção e Reforma de Edifícios-DF</v>
      </c>
      <c r="E5" s="93">
        <v>5.8999999999999999E-3</v>
      </c>
      <c r="F5" s="93">
        <v>1.23E-2</v>
      </c>
      <c r="G5" s="93">
        <v>1.3899999999999999E-2</v>
      </c>
      <c r="J5" s="410">
        <f>Import.CR</f>
        <v>0.22120000000000001</v>
      </c>
      <c r="K5" s="411"/>
      <c r="L5" s="410">
        <f>Import.SICONV</f>
        <v>4.0099999999999997E-2</v>
      </c>
      <c r="M5" s="411"/>
      <c r="N5" s="410">
        <f>Import.Proponente</f>
        <v>1.23E-2</v>
      </c>
      <c r="O5" s="412"/>
      <c r="P5" s="412"/>
      <c r="Q5" s="412"/>
      <c r="R5" s="412"/>
      <c r="S5" s="411"/>
    </row>
    <row r="6" spans="1:19" hidden="1" x14ac:dyDescent="0.25">
      <c r="A6" s="89" t="str">
        <f>A5</f>
        <v>Construção e Reforma de Edifícios</v>
      </c>
      <c r="B6" s="92" t="s">
        <v>490</v>
      </c>
      <c r="C6" s="89" t="str">
        <f t="shared" si="0"/>
        <v>Construção e Reforma de Edifícios-L</v>
      </c>
      <c r="E6" s="93">
        <v>6.1600000000000002E-2</v>
      </c>
      <c r="F6" s="93">
        <v>7.400000000000001E-2</v>
      </c>
      <c r="G6" s="93">
        <v>8.9600000000000013E-2</v>
      </c>
      <c r="I6" s="420" t="s">
        <v>491</v>
      </c>
      <c r="J6" s="94"/>
      <c r="K6" s="94"/>
      <c r="L6" s="94"/>
      <c r="M6" s="94"/>
      <c r="N6" s="94"/>
      <c r="O6" s="94"/>
      <c r="P6" s="94"/>
      <c r="Q6" s="94"/>
      <c r="R6" s="94"/>
      <c r="S6" s="94"/>
    </row>
    <row r="7" spans="1:19" ht="25.5" hidden="1" x14ac:dyDescent="0.25">
      <c r="A7" s="89" t="str">
        <f>A6</f>
        <v>Construção e Reforma de Edifícios</v>
      </c>
      <c r="B7" s="95" t="s">
        <v>492</v>
      </c>
      <c r="C7" s="89" t="str">
        <f t="shared" si="0"/>
        <v>Construção e Reforma de Edifícios-BDI PAD</v>
      </c>
      <c r="E7" s="93">
        <v>0.2034</v>
      </c>
      <c r="F7" s="93">
        <v>0.22120000000000001</v>
      </c>
      <c r="G7" s="93">
        <v>0.25</v>
      </c>
      <c r="I7" s="420"/>
      <c r="J7" s="417" t="s">
        <v>493</v>
      </c>
      <c r="K7" s="419"/>
      <c r="L7" s="419"/>
      <c r="M7" s="419"/>
      <c r="N7" s="419"/>
      <c r="O7" s="419"/>
      <c r="P7" s="419"/>
      <c r="Q7" s="419"/>
      <c r="R7" s="419"/>
      <c r="S7" s="418"/>
    </row>
    <row r="8" spans="1:19" hidden="1" x14ac:dyDescent="0.25">
      <c r="A8" s="89" t="s">
        <v>494</v>
      </c>
      <c r="B8" s="92" t="s">
        <v>482</v>
      </c>
      <c r="C8" s="89" t="str">
        <f t="shared" si="0"/>
        <v>Construção de Praças Urbanas, Rodovias, Ferrovias e recapeamento e pavimentação de vias urbanas-AC</v>
      </c>
      <c r="E8" s="93">
        <v>3.7999999999999999E-2</v>
      </c>
      <c r="F8" s="93">
        <v>4.0099999999999997E-2</v>
      </c>
      <c r="G8" s="93">
        <v>4.6699999999999998E-2</v>
      </c>
      <c r="I8" s="420"/>
      <c r="J8" s="421" t="str">
        <f>Import.Apelido&amp;" / "&amp;Import.DescLote</f>
        <v xml:space="preserve"> / 0,004</v>
      </c>
      <c r="K8" s="422"/>
      <c r="L8" s="422"/>
      <c r="M8" s="422"/>
      <c r="N8" s="422"/>
      <c r="O8" s="422"/>
      <c r="P8" s="422"/>
      <c r="Q8" s="422"/>
      <c r="R8" s="422"/>
      <c r="S8" s="423"/>
    </row>
    <row r="9" spans="1:19" x14ac:dyDescent="0.25">
      <c r="B9" s="92"/>
      <c r="E9" s="93"/>
      <c r="F9" s="93"/>
      <c r="G9" s="93"/>
      <c r="I9" s="420"/>
      <c r="J9" s="96"/>
      <c r="K9" s="96"/>
      <c r="L9" s="96"/>
      <c r="M9" s="96"/>
      <c r="N9" s="96"/>
      <c r="O9" s="96"/>
      <c r="P9" s="96"/>
      <c r="Q9" s="96"/>
      <c r="R9" s="96"/>
      <c r="S9" s="96"/>
    </row>
    <row r="10" spans="1:19" ht="18" x14ac:dyDescent="0.25">
      <c r="B10" s="92"/>
      <c r="E10" s="93"/>
      <c r="F10" s="93"/>
      <c r="G10" s="93"/>
      <c r="I10" s="420"/>
      <c r="J10" s="424" t="s">
        <v>495</v>
      </c>
      <c r="K10" s="424"/>
      <c r="L10" s="424"/>
      <c r="M10" s="424"/>
      <c r="N10" s="424"/>
      <c r="O10" s="424"/>
      <c r="P10" s="424"/>
      <c r="Q10" s="424"/>
      <c r="R10" s="424"/>
      <c r="S10" s="424"/>
    </row>
    <row r="11" spans="1:19" x14ac:dyDescent="0.25">
      <c r="B11" s="92"/>
      <c r="E11" s="93"/>
      <c r="F11" s="93"/>
      <c r="G11" s="93"/>
      <c r="I11" s="420"/>
      <c r="J11" s="1"/>
      <c r="K11" s="1"/>
      <c r="L11" s="1"/>
      <c r="M11" s="1"/>
      <c r="N11" s="2"/>
      <c r="O11" s="2"/>
      <c r="P11" s="2"/>
      <c r="Q11" s="2"/>
      <c r="R11" s="2"/>
      <c r="S11" s="96"/>
    </row>
    <row r="12" spans="1:19" x14ac:dyDescent="0.25">
      <c r="B12" s="92"/>
      <c r="E12" s="93"/>
      <c r="F12" s="93"/>
      <c r="G12" s="93"/>
      <c r="I12" s="420"/>
      <c r="J12" s="3" t="s">
        <v>1</v>
      </c>
      <c r="K12" s="3"/>
      <c r="L12" s="4"/>
      <c r="M12" s="5"/>
      <c r="N12" s="6"/>
      <c r="O12" s="6"/>
      <c r="P12" s="6"/>
      <c r="Q12" s="6"/>
      <c r="R12" s="6"/>
      <c r="S12" s="96"/>
    </row>
    <row r="13" spans="1:19" x14ac:dyDescent="0.25">
      <c r="B13" s="92"/>
      <c r="E13" s="93"/>
      <c r="F13" s="93"/>
      <c r="G13" s="93"/>
      <c r="I13" s="420"/>
      <c r="J13" s="3" t="s">
        <v>2</v>
      </c>
      <c r="K13" s="3"/>
      <c r="L13" s="3"/>
      <c r="M13" s="7"/>
      <c r="N13" s="8"/>
      <c r="O13" s="10"/>
      <c r="P13" s="8"/>
      <c r="Q13" s="8"/>
      <c r="R13" s="8"/>
      <c r="S13" s="96"/>
    </row>
    <row r="14" spans="1:19" x14ac:dyDescent="0.25">
      <c r="B14" s="92"/>
      <c r="E14" s="93"/>
      <c r="F14" s="93"/>
      <c r="G14" s="93"/>
      <c r="I14" s="420"/>
      <c r="J14" s="3" t="s">
        <v>242</v>
      </c>
      <c r="K14" s="3"/>
      <c r="L14" s="4"/>
      <c r="M14" s="7"/>
      <c r="N14" s="8"/>
      <c r="O14" s="8"/>
      <c r="P14" s="8"/>
      <c r="Q14" s="8"/>
      <c r="R14" s="8"/>
      <c r="S14" s="96"/>
    </row>
    <row r="15" spans="1:19" x14ac:dyDescent="0.25">
      <c r="B15" s="92"/>
      <c r="E15" s="93"/>
      <c r="F15" s="93"/>
      <c r="G15" s="93"/>
      <c r="I15" s="420"/>
      <c r="J15" s="3" t="s">
        <v>466</v>
      </c>
      <c r="K15" s="3"/>
      <c r="L15" s="4"/>
      <c r="M15" s="7"/>
      <c r="N15" s="8"/>
      <c r="O15" s="10"/>
      <c r="P15" s="2"/>
      <c r="Q15" s="8"/>
      <c r="R15" s="8"/>
      <c r="S15" s="96"/>
    </row>
    <row r="16" spans="1:19" x14ac:dyDescent="0.25">
      <c r="B16" s="92"/>
      <c r="E16" s="93"/>
      <c r="F16" s="93"/>
      <c r="G16" s="93"/>
      <c r="I16" s="420"/>
      <c r="J16" s="10" t="s">
        <v>243</v>
      </c>
      <c r="K16" s="3"/>
      <c r="L16" s="4"/>
      <c r="M16" s="7"/>
      <c r="N16" s="8"/>
      <c r="O16" s="8"/>
      <c r="P16" s="2"/>
      <c r="Q16" s="8"/>
      <c r="R16" s="8"/>
      <c r="S16" s="96"/>
    </row>
    <row r="17" spans="1:26" x14ac:dyDescent="0.25">
      <c r="A17" s="89" t="s">
        <v>494</v>
      </c>
      <c r="B17" s="92" t="s">
        <v>484</v>
      </c>
      <c r="C17" s="89" t="str">
        <f t="shared" si="0"/>
        <v>Construção de Praças Urbanas, Rodovias, Ferrovias e recapeamento e pavimentação de vias urbanas-SG</v>
      </c>
      <c r="E17" s="93">
        <v>3.2000000000000002E-3</v>
      </c>
      <c r="F17" s="93">
        <v>4.0000000000000001E-3</v>
      </c>
      <c r="G17" s="93">
        <v>7.4000000000000003E-3</v>
      </c>
      <c r="I17" s="420"/>
      <c r="J17" s="94"/>
      <c r="K17" s="94"/>
      <c r="L17" s="94"/>
      <c r="M17" s="94"/>
      <c r="N17" s="94"/>
      <c r="O17" s="94"/>
      <c r="P17" s="94"/>
      <c r="Q17" s="94"/>
      <c r="R17" s="94"/>
      <c r="S17" s="94"/>
    </row>
    <row r="18" spans="1:26" x14ac:dyDescent="0.25">
      <c r="A18" s="89" t="s">
        <v>494</v>
      </c>
      <c r="B18" s="92" t="s">
        <v>485</v>
      </c>
      <c r="C18" s="89" t="str">
        <f t="shared" si="0"/>
        <v>Construção de Praças Urbanas, Rodovias, Ferrovias e recapeamento e pavimentação de vias urbanas-R</v>
      </c>
      <c r="E18" s="93">
        <v>5.0000000000000001E-3</v>
      </c>
      <c r="F18" s="93">
        <v>5.6000000000000008E-3</v>
      </c>
      <c r="G18" s="93">
        <v>9.7000000000000003E-3</v>
      </c>
      <c r="I18" s="420"/>
      <c r="J18" s="425" t="s">
        <v>499</v>
      </c>
      <c r="K18" s="426"/>
      <c r="L18" s="426"/>
      <c r="M18" s="426"/>
      <c r="N18" s="426"/>
      <c r="O18" s="426"/>
      <c r="P18" s="426"/>
      <c r="Q18" s="427"/>
      <c r="R18" s="428">
        <v>0.5</v>
      </c>
      <c r="S18" s="429"/>
    </row>
    <row r="19" spans="1:26" x14ac:dyDescent="0.25">
      <c r="A19" s="89" t="s">
        <v>494</v>
      </c>
      <c r="B19" s="92" t="s">
        <v>489</v>
      </c>
      <c r="C19" s="89" t="str">
        <f t="shared" si="0"/>
        <v>Construção de Praças Urbanas, Rodovias, Ferrovias e recapeamento e pavimentação de vias urbanas-DF</v>
      </c>
      <c r="E19" s="93">
        <v>1.0200000000000001E-2</v>
      </c>
      <c r="F19" s="93">
        <v>1.11E-2</v>
      </c>
      <c r="G19" s="93">
        <v>1.21E-2</v>
      </c>
      <c r="I19" s="97" t="s">
        <v>500</v>
      </c>
      <c r="J19" s="430" t="s">
        <v>501</v>
      </c>
      <c r="K19" s="431"/>
      <c r="L19" s="431"/>
      <c r="M19" s="431"/>
      <c r="N19" s="431"/>
      <c r="O19" s="431"/>
      <c r="P19" s="431"/>
      <c r="Q19" s="432"/>
      <c r="R19" s="428">
        <v>0.05</v>
      </c>
      <c r="S19" s="429"/>
    </row>
    <row r="20" spans="1:26" x14ac:dyDescent="0.25">
      <c r="A20" s="89" t="s">
        <v>494</v>
      </c>
      <c r="B20" s="92" t="s">
        <v>490</v>
      </c>
      <c r="C20" s="89" t="str">
        <f t="shared" si="0"/>
        <v>Construção de Praças Urbanas, Rodovias, Ferrovias e recapeamento e pavimentação de vias urbanas-L</v>
      </c>
      <c r="E20" s="93">
        <v>6.6400000000000001E-2</v>
      </c>
      <c r="F20" s="93">
        <v>7.2999999999999995E-2</v>
      </c>
      <c r="G20" s="93">
        <v>8.6899999999999991E-2</v>
      </c>
      <c r="I20" t="s">
        <v>502</v>
      </c>
      <c r="J20" s="98"/>
      <c r="K20" s="98"/>
      <c r="L20" s="98"/>
      <c r="M20" s="98"/>
      <c r="N20" s="98"/>
      <c r="O20" s="98"/>
      <c r="P20" s="98"/>
      <c r="Q20" s="98"/>
      <c r="R20" s="98"/>
      <c r="S20" s="98"/>
    </row>
    <row r="21" spans="1:26" ht="25.5" hidden="1" x14ac:dyDescent="0.25">
      <c r="A21" s="89" t="s">
        <v>494</v>
      </c>
      <c r="B21" s="95" t="s">
        <v>492</v>
      </c>
      <c r="C21" s="89" t="str">
        <f t="shared" si="0"/>
        <v>Construção de Praças Urbanas, Rodovias, Ferrovias e recapeamento e pavimentação de vias urbanas-BDI PAD</v>
      </c>
      <c r="E21" s="93">
        <v>0.19600000000000001</v>
      </c>
      <c r="F21" s="93">
        <v>0.2097</v>
      </c>
      <c r="G21" s="93">
        <v>0.24230000000000002</v>
      </c>
      <c r="I21" t="s">
        <v>502</v>
      </c>
    </row>
    <row r="22" spans="1:26" ht="15.75" hidden="1" x14ac:dyDescent="0.25">
      <c r="A22" s="89" t="s">
        <v>503</v>
      </c>
      <c r="B22" s="92" t="s">
        <v>482</v>
      </c>
      <c r="C22" s="89" t="str">
        <f t="shared" si="0"/>
        <v>Construção de Redes de Abastecimento de Água, Coleta de Esgoto-AC</v>
      </c>
      <c r="E22" s="93">
        <v>3.4300000000000004E-2</v>
      </c>
      <c r="F22" s="93">
        <v>4.9299999999999997E-2</v>
      </c>
      <c r="G22" s="93">
        <v>6.7099999999999993E-2</v>
      </c>
      <c r="I22" t="s">
        <v>502</v>
      </c>
      <c r="J22" s="433" t="s">
        <v>504</v>
      </c>
      <c r="K22" s="434"/>
      <c r="L22" s="434"/>
      <c r="M22" s="434"/>
      <c r="N22" s="434"/>
      <c r="O22" s="434"/>
      <c r="P22" s="434"/>
      <c r="Q22" s="434"/>
      <c r="R22" s="434"/>
      <c r="S22" s="435"/>
    </row>
    <row r="23" spans="1:26" hidden="1" x14ac:dyDescent="0.25">
      <c r="A23" s="89" t="str">
        <f>A22</f>
        <v>Construção de Redes de Abastecimento de Água, Coleta de Esgoto</v>
      </c>
      <c r="B23" s="92" t="s">
        <v>484</v>
      </c>
      <c r="C23" s="89" t="str">
        <f t="shared" si="0"/>
        <v>Construção de Redes de Abastecimento de Água, Coleta de Esgoto-SG</v>
      </c>
      <c r="E23" s="93">
        <v>2.8000000000000004E-3</v>
      </c>
      <c r="F23" s="93">
        <v>4.8999999999999998E-3</v>
      </c>
      <c r="G23" s="93">
        <v>7.4999999999999997E-3</v>
      </c>
      <c r="I23" t="s">
        <v>502</v>
      </c>
    </row>
    <row r="24" spans="1:26" x14ac:dyDescent="0.25">
      <c r="A24" s="89" t="str">
        <f>A23</f>
        <v>Construção de Redes de Abastecimento de Água, Coleta de Esgoto</v>
      </c>
      <c r="B24" s="92" t="s">
        <v>485</v>
      </c>
      <c r="C24" s="89" t="str">
        <f t="shared" si="0"/>
        <v>Construção de Redes de Abastecimento de Água, Coleta de Esgoto-R</v>
      </c>
      <c r="E24" s="93">
        <v>0.01</v>
      </c>
      <c r="F24" s="93">
        <v>1.3899999999999999E-2</v>
      </c>
      <c r="G24" s="93">
        <v>1.7399999999999999E-2</v>
      </c>
      <c r="I24" t="s">
        <v>502</v>
      </c>
      <c r="J24" s="436" t="s">
        <v>505</v>
      </c>
      <c r="K24" s="437"/>
      <c r="L24" s="437"/>
      <c r="M24" s="437"/>
      <c r="N24" s="437"/>
      <c r="O24" s="437"/>
      <c r="P24" s="437"/>
      <c r="Q24" s="437"/>
      <c r="R24" s="437"/>
      <c r="S24" s="438"/>
    </row>
    <row r="25" spans="1:26" x14ac:dyDescent="0.25">
      <c r="A25" s="89" t="str">
        <f>A24</f>
        <v>Construção de Redes de Abastecimento de Água, Coleta de Esgoto</v>
      </c>
      <c r="B25" s="92" t="s">
        <v>489</v>
      </c>
      <c r="C25" s="89" t="str">
        <f t="shared" si="0"/>
        <v>Construção de Redes de Abastecimento de Água, Coleta de Esgoto-DF</v>
      </c>
      <c r="E25" s="93">
        <v>9.3999999999999986E-3</v>
      </c>
      <c r="F25" s="93">
        <v>9.8999999999999991E-3</v>
      </c>
      <c r="G25" s="93">
        <v>1.1699999999999999E-2</v>
      </c>
      <c r="I25" t="s">
        <v>502</v>
      </c>
      <c r="J25" s="439" t="s">
        <v>494</v>
      </c>
      <c r="K25" s="440"/>
      <c r="L25" s="440"/>
      <c r="M25" s="440"/>
      <c r="N25" s="440"/>
      <c r="O25" s="440"/>
      <c r="P25" s="440"/>
      <c r="Q25" s="440"/>
      <c r="R25" s="440"/>
      <c r="S25" s="441"/>
    </row>
    <row r="26" spans="1:26" x14ac:dyDescent="0.25">
      <c r="A26" s="89" t="str">
        <f>A25</f>
        <v>Construção de Redes de Abastecimento de Água, Coleta de Esgoto</v>
      </c>
      <c r="B26" s="92" t="s">
        <v>490</v>
      </c>
      <c r="C26" s="89" t="str">
        <f t="shared" si="0"/>
        <v>Construção de Redes de Abastecimento de Água, Coleta de Esgoto-L</v>
      </c>
      <c r="E26" s="93">
        <v>6.7400000000000002E-2</v>
      </c>
      <c r="F26" s="93">
        <v>8.0399999999999985E-2</v>
      </c>
      <c r="G26" s="93">
        <v>9.4E-2</v>
      </c>
      <c r="I26" t="s">
        <v>502</v>
      </c>
    </row>
    <row r="27" spans="1:26" ht="25.5" x14ac:dyDescent="0.25">
      <c r="A27" s="89" t="str">
        <f>A26</f>
        <v>Construção de Redes de Abastecimento de Água, Coleta de Esgoto</v>
      </c>
      <c r="B27" s="95" t="s">
        <v>492</v>
      </c>
      <c r="C27" s="89" t="str">
        <f t="shared" si="0"/>
        <v>Construção de Redes de Abastecimento de Água, Coleta de Esgoto-BDI PAD</v>
      </c>
      <c r="E27" s="93">
        <v>0.20760000000000001</v>
      </c>
      <c r="F27" s="93">
        <v>0.24179999999999999</v>
      </c>
      <c r="G27" s="93">
        <v>0.26440000000000002</v>
      </c>
      <c r="I27" t="s">
        <v>502</v>
      </c>
      <c r="J27" s="456" t="s">
        <v>506</v>
      </c>
      <c r="K27" s="457"/>
      <c r="L27" s="457"/>
      <c r="M27" s="457"/>
      <c r="N27" s="457"/>
      <c r="O27" s="457"/>
      <c r="P27" s="457"/>
      <c r="Q27" s="458"/>
      <c r="R27" s="462" t="s">
        <v>507</v>
      </c>
      <c r="S27" s="464" t="s">
        <v>508</v>
      </c>
      <c r="U27" s="442" t="s">
        <v>509</v>
      </c>
      <c r="V27" s="443"/>
      <c r="W27" s="444"/>
      <c r="X27" s="448" t="s">
        <v>510</v>
      </c>
      <c r="Y27" s="448" t="s">
        <v>511</v>
      </c>
      <c r="Z27" s="448" t="s">
        <v>512</v>
      </c>
    </row>
    <row r="28" spans="1:26" x14ac:dyDescent="0.25">
      <c r="A28" s="89" t="s">
        <v>513</v>
      </c>
      <c r="B28" s="92" t="s">
        <v>482</v>
      </c>
      <c r="C28" s="89" t="str">
        <f t="shared" si="0"/>
        <v>Construção e Manutenção de Estações e Redes de Distribuição de Energia Elétrica-AC</v>
      </c>
      <c r="E28" s="93">
        <v>5.2900000000000003E-2</v>
      </c>
      <c r="F28" s="93">
        <v>5.9200000000000003E-2</v>
      </c>
      <c r="G28" s="93">
        <v>7.9299999999999995E-2</v>
      </c>
      <c r="I28" t="s">
        <v>502</v>
      </c>
      <c r="J28" s="459"/>
      <c r="K28" s="460"/>
      <c r="L28" s="460"/>
      <c r="M28" s="460"/>
      <c r="N28" s="460"/>
      <c r="O28" s="460"/>
      <c r="P28" s="460"/>
      <c r="Q28" s="461"/>
      <c r="R28" s="463"/>
      <c r="S28" s="465"/>
      <c r="U28" s="445"/>
      <c r="V28" s="446"/>
      <c r="W28" s="447"/>
      <c r="X28" s="449"/>
      <c r="Y28" s="449"/>
      <c r="Z28" s="449"/>
    </row>
    <row r="29" spans="1:26" x14ac:dyDescent="0.25">
      <c r="A29" s="89" t="str">
        <f>A28</f>
        <v>Construção e Manutenção de Estações e Redes de Distribuição de Energia Elétrica</v>
      </c>
      <c r="B29" s="92" t="s">
        <v>484</v>
      </c>
      <c r="C29" s="89" t="str">
        <f t="shared" si="0"/>
        <v>Construção e Manutenção de Estações e Redes de Distribuição de Energia Elétrica-SG</v>
      </c>
      <c r="E29" s="93">
        <v>2.5000000000000001E-3</v>
      </c>
      <c r="F29" s="93">
        <v>5.1000000000000004E-3</v>
      </c>
      <c r="G29" s="93">
        <v>5.6000000000000008E-3</v>
      </c>
      <c r="I29" t="s">
        <v>502</v>
      </c>
      <c r="J29" s="450" t="str">
        <f>IF($J$25=$A$71,"Encargos Sociais incidentes sobre a mão de obra","Administração Central")</f>
        <v>Administração Central</v>
      </c>
      <c r="K29" s="451"/>
      <c r="L29" s="451"/>
      <c r="M29" s="451"/>
      <c r="N29" s="451"/>
      <c r="O29" s="451"/>
      <c r="P29" s="451"/>
      <c r="Q29" s="452"/>
      <c r="R29" s="99" t="str">
        <f>IF($J25=$A$71,"K1","AC")</f>
        <v>AC</v>
      </c>
      <c r="S29" s="100">
        <v>3.7999999999999999E-2</v>
      </c>
      <c r="U29" s="453" t="s">
        <v>514</v>
      </c>
      <c r="V29" s="454"/>
      <c r="W29" s="455"/>
      <c r="X29" s="101">
        <f>VLOOKUP(CONCATENATE(J25,"-",R29),$C$2:$G$61,3,FALSE)</f>
        <v>3.7999999999999999E-2</v>
      </c>
      <c r="Y29" s="101">
        <f>VLOOKUP(CONCATENATE(J25,"-",R29),$C$2:$G$61,4,FALSE)</f>
        <v>4.0099999999999997E-2</v>
      </c>
      <c r="Z29" s="101">
        <f>VLOOKUP(CONCATENATE(J25,"-",R29),$C$2:$G$61,5,FALSE)</f>
        <v>4.6699999999999998E-2</v>
      </c>
    </row>
    <row r="30" spans="1:26" x14ac:dyDescent="0.25">
      <c r="A30" s="89" t="str">
        <f>A29</f>
        <v>Construção e Manutenção de Estações e Redes de Distribuição de Energia Elétrica</v>
      </c>
      <c r="B30" s="92" t="s">
        <v>485</v>
      </c>
      <c r="C30" s="89" t="str">
        <f t="shared" si="0"/>
        <v>Construção e Manutenção de Estações e Redes de Distribuição de Energia Elétrica-R</v>
      </c>
      <c r="E30" s="93">
        <v>0.01</v>
      </c>
      <c r="F30" s="93">
        <v>1.4800000000000001E-2</v>
      </c>
      <c r="G30" s="93">
        <v>1.9699999999999999E-2</v>
      </c>
      <c r="I30" t="s">
        <v>502</v>
      </c>
      <c r="J30" s="450" t="str">
        <f>IF($J$25=$A$71,"Administração Central da empresa ou consultoria - overhead","Seguro e Garantia")</f>
        <v>Seguro e Garantia</v>
      </c>
      <c r="K30" s="451"/>
      <c r="L30" s="451"/>
      <c r="M30" s="451"/>
      <c r="N30" s="451"/>
      <c r="O30" s="451"/>
      <c r="P30" s="451"/>
      <c r="Q30" s="452"/>
      <c r="R30" s="99" t="str">
        <f>IF($J25=$A$71,"K2","SG")</f>
        <v>SG</v>
      </c>
      <c r="S30" s="100">
        <v>3.2000000000000002E-3</v>
      </c>
      <c r="U30" s="453" t="s">
        <v>514</v>
      </c>
      <c r="V30" s="454"/>
      <c r="W30" s="455"/>
      <c r="X30" s="101">
        <f>VLOOKUP(CONCATENATE(J25,"-",R30),$C$2:$G$61,3,FALSE)</f>
        <v>3.2000000000000002E-3</v>
      </c>
      <c r="Y30" s="101">
        <f>VLOOKUP(CONCATENATE(J25,"-",R30),$C$2:$G$61,4,FALSE)</f>
        <v>4.0000000000000001E-3</v>
      </c>
      <c r="Z30" s="101">
        <f>VLOOKUP(CONCATENATE(J25,"-",R30),$C$2:$G$61,5,FALSE)</f>
        <v>7.4000000000000003E-3</v>
      </c>
    </row>
    <row r="31" spans="1:26" ht="15" customHeight="1" x14ac:dyDescent="0.25">
      <c r="A31" s="89" t="str">
        <f>A30</f>
        <v>Construção e Manutenção de Estações e Redes de Distribuição de Energia Elétrica</v>
      </c>
      <c r="B31" s="92" t="s">
        <v>489</v>
      </c>
      <c r="C31" s="89" t="str">
        <f t="shared" si="0"/>
        <v>Construção e Manutenção de Estações e Redes de Distribuição de Energia Elétrica-DF</v>
      </c>
      <c r="E31" s="93">
        <v>1.01E-2</v>
      </c>
      <c r="F31" s="93">
        <v>1.0700000000000001E-2</v>
      </c>
      <c r="G31" s="93">
        <v>1.11E-2</v>
      </c>
      <c r="I31" t="s">
        <v>502</v>
      </c>
      <c r="J31" s="450" t="str">
        <f>IF($J$25=$A$71,"","Risco")</f>
        <v>Risco</v>
      </c>
      <c r="K31" s="451"/>
      <c r="L31" s="451"/>
      <c r="M31" s="451"/>
      <c r="N31" s="451"/>
      <c r="O31" s="451"/>
      <c r="P31" s="451"/>
      <c r="Q31" s="452"/>
      <c r="R31" s="99" t="str">
        <f>IF($J25=$A$71,"","R")</f>
        <v>R</v>
      </c>
      <c r="S31" s="100">
        <v>5.0000000000000001E-3</v>
      </c>
      <c r="U31" s="453" t="s">
        <v>514</v>
      </c>
      <c r="V31" s="454"/>
      <c r="W31" s="455"/>
      <c r="X31" s="101">
        <f>VLOOKUP(CONCATENATE(J25,"-",R31),$C$2:$G$61,3,FALSE)</f>
        <v>5.0000000000000001E-3</v>
      </c>
      <c r="Y31" s="101">
        <f>VLOOKUP(CONCATENATE(J25,"-",R31),$C$2:$G$61,4,FALSE)</f>
        <v>5.6000000000000008E-3</v>
      </c>
      <c r="Z31" s="101">
        <f>VLOOKUP(CONCATENATE(J25,"-",R31),$C$2:$G$61,5,FALSE)</f>
        <v>9.7000000000000003E-3</v>
      </c>
    </row>
    <row r="32" spans="1:26" x14ac:dyDescent="0.25">
      <c r="A32" s="89" t="str">
        <f>A31</f>
        <v>Construção e Manutenção de Estações e Redes de Distribuição de Energia Elétrica</v>
      </c>
      <c r="B32" s="92" t="s">
        <v>490</v>
      </c>
      <c r="C32" s="89" t="str">
        <f t="shared" si="0"/>
        <v>Construção e Manutenção de Estações e Redes de Distribuição de Energia Elétrica-L</v>
      </c>
      <c r="E32" s="93">
        <v>0.08</v>
      </c>
      <c r="F32" s="93">
        <v>8.3100000000000007E-2</v>
      </c>
      <c r="G32" s="93">
        <v>9.5100000000000004E-2</v>
      </c>
      <c r="I32" t="s">
        <v>502</v>
      </c>
      <c r="J32" s="450" t="str">
        <f>IF($J$25=$A$71,"","Despesas Financeiras")</f>
        <v>Despesas Financeiras</v>
      </c>
      <c r="K32" s="451"/>
      <c r="L32" s="451"/>
      <c r="M32" s="451"/>
      <c r="N32" s="451"/>
      <c r="O32" s="451"/>
      <c r="P32" s="451"/>
      <c r="Q32" s="452"/>
      <c r="R32" s="99" t="str">
        <f>IF($J25=$A$71,"","DF")</f>
        <v>DF</v>
      </c>
      <c r="S32" s="100">
        <v>1.0200000000000001E-2</v>
      </c>
      <c r="U32" s="453" t="s">
        <v>514</v>
      </c>
      <c r="V32" s="454"/>
      <c r="W32" s="455"/>
      <c r="X32" s="101">
        <f>VLOOKUP(CONCATENATE(J25,"-",R32),$C$2:$G$61,3,FALSE)</f>
        <v>1.0200000000000001E-2</v>
      </c>
      <c r="Y32" s="101">
        <f>VLOOKUP(CONCATENATE(J25,"-",R32),$C$2:$G$61,4,FALSE)</f>
        <v>1.11E-2</v>
      </c>
      <c r="Z32" s="101">
        <f>VLOOKUP(CONCATENATE(J25,"-",R32),$C$2:$G$61,5,FALSE)</f>
        <v>1.21E-2</v>
      </c>
    </row>
    <row r="33" spans="1:26" ht="15" customHeight="1" x14ac:dyDescent="0.25">
      <c r="A33" s="89" t="str">
        <f>A32</f>
        <v>Construção e Manutenção de Estações e Redes de Distribuição de Energia Elétrica</v>
      </c>
      <c r="B33" s="95" t="s">
        <v>492</v>
      </c>
      <c r="C33" s="89" t="str">
        <f t="shared" si="0"/>
        <v>Construção e Manutenção de Estações e Redes de Distribuição de Energia Elétrica-BDI PAD</v>
      </c>
      <c r="E33" s="93">
        <v>0.24</v>
      </c>
      <c r="F33" s="93">
        <v>0.25840000000000002</v>
      </c>
      <c r="G33" s="93">
        <v>0.27860000000000001</v>
      </c>
      <c r="I33" t="s">
        <v>502</v>
      </c>
      <c r="J33" s="450" t="str">
        <f>IF($J$25=$A$71,"Margem bruta da empresa de consultoria","Lucro")</f>
        <v>Lucro</v>
      </c>
      <c r="K33" s="451"/>
      <c r="L33" s="451"/>
      <c r="M33" s="451"/>
      <c r="N33" s="451"/>
      <c r="O33" s="451"/>
      <c r="P33" s="451"/>
      <c r="Q33" s="452"/>
      <c r="R33" s="99" t="str">
        <f>IF($J25=$A$71,"K3","L")</f>
        <v>L</v>
      </c>
      <c r="S33" s="100">
        <v>6.6400000000000001E-2</v>
      </c>
      <c r="U33" s="453" t="s">
        <v>514</v>
      </c>
      <c r="V33" s="454"/>
      <c r="W33" s="455"/>
      <c r="X33" s="101">
        <f>VLOOKUP(CONCATENATE(J25,"-",R33),$C$2:$G$61,3,FALSE)</f>
        <v>6.6400000000000001E-2</v>
      </c>
      <c r="Y33" s="101">
        <f>VLOOKUP(CONCATENATE(J25,"-",R33),$C$2:$G$61,4,FALSE)</f>
        <v>7.2999999999999995E-2</v>
      </c>
      <c r="Z33" s="101">
        <f>VLOOKUP(CONCATENATE(J25,"-",R33),$C$2:$G$61,5,FALSE)</f>
        <v>8.6899999999999991E-2</v>
      </c>
    </row>
    <row r="34" spans="1:26" x14ac:dyDescent="0.25">
      <c r="A34" s="89" t="s">
        <v>515</v>
      </c>
      <c r="B34" s="92" t="s">
        <v>482</v>
      </c>
      <c r="C34" s="89" t="str">
        <f t="shared" si="0"/>
        <v>Obras Portuárias, Marítimas e Fluviais-AC</v>
      </c>
      <c r="E34" s="93">
        <v>0.04</v>
      </c>
      <c r="F34" s="93">
        <v>5.5199999999999999E-2</v>
      </c>
      <c r="G34" s="93">
        <v>7.85E-2</v>
      </c>
      <c r="I34" t="s">
        <v>502</v>
      </c>
      <c r="J34" s="450" t="s">
        <v>516</v>
      </c>
      <c r="K34" s="451"/>
      <c r="L34" s="451"/>
      <c r="M34" s="451"/>
      <c r="N34" s="451"/>
      <c r="O34" s="451"/>
      <c r="P34" s="451"/>
      <c r="Q34" s="452"/>
      <c r="R34" s="99" t="s">
        <v>517</v>
      </c>
      <c r="S34" s="100">
        <v>3.6499999999999998E-2</v>
      </c>
      <c r="U34" s="453" t="s">
        <v>514</v>
      </c>
      <c r="V34" s="454"/>
      <c r="W34" s="455"/>
      <c r="X34" s="101">
        <v>3.6499999999999998E-2</v>
      </c>
      <c r="Y34" s="101">
        <v>3.6499999999999998E-2</v>
      </c>
      <c r="Z34" s="101">
        <v>3.6499999999999998E-2</v>
      </c>
    </row>
    <row r="35" spans="1:26" x14ac:dyDescent="0.25">
      <c r="A35" s="89" t="str">
        <f>A34</f>
        <v>Obras Portuárias, Marítimas e Fluviais</v>
      </c>
      <c r="B35" s="92" t="s">
        <v>484</v>
      </c>
      <c r="C35" s="89" t="str">
        <f t="shared" si="0"/>
        <v>Obras Portuárias, Marítimas e Fluviais-SG</v>
      </c>
      <c r="E35" s="93">
        <v>8.1000000000000013E-3</v>
      </c>
      <c r="F35" s="93">
        <v>1.2199999999999999E-2</v>
      </c>
      <c r="G35" s="93">
        <v>1.9900000000000001E-2</v>
      </c>
      <c r="I35" t="s">
        <v>502</v>
      </c>
      <c r="J35" s="450" t="s">
        <v>518</v>
      </c>
      <c r="K35" s="451"/>
      <c r="L35" s="451"/>
      <c r="M35" s="451"/>
      <c r="N35" s="451"/>
      <c r="O35" s="451"/>
      <c r="P35" s="451"/>
      <c r="Q35" s="452"/>
      <c r="R35" s="99" t="s">
        <v>519</v>
      </c>
      <c r="S35" s="101">
        <f ca="1">IF(AND($J25&lt;&gt;$A$70,COUNTA(OFFSET(S28,1,0,6))&gt;0),$R$19*$R$18,0)</f>
        <v>2.5000000000000001E-2</v>
      </c>
      <c r="U35" s="453" t="s">
        <v>514</v>
      </c>
      <c r="V35" s="454"/>
      <c r="W35" s="455"/>
      <c r="X35" s="101">
        <v>0</v>
      </c>
      <c r="Y35" s="101">
        <v>2.5000000000000001E-2</v>
      </c>
      <c r="Z35" s="101">
        <v>0.05</v>
      </c>
    </row>
    <row r="36" spans="1:26" x14ac:dyDescent="0.25">
      <c r="A36" s="89" t="str">
        <f>A35</f>
        <v>Obras Portuárias, Marítimas e Fluviais</v>
      </c>
      <c r="B36" s="92" t="s">
        <v>485</v>
      </c>
      <c r="C36" s="89" t="str">
        <f t="shared" si="0"/>
        <v>Obras Portuárias, Marítimas e Fluviais-R</v>
      </c>
      <c r="E36" s="93">
        <v>1.46E-2</v>
      </c>
      <c r="F36" s="93">
        <v>2.3199999999999998E-2</v>
      </c>
      <c r="G36" s="93">
        <v>3.1600000000000003E-2</v>
      </c>
      <c r="I36" t="s">
        <v>502</v>
      </c>
      <c r="J36" s="450" t="s">
        <v>520</v>
      </c>
      <c r="K36" s="451"/>
      <c r="L36" s="451"/>
      <c r="M36" s="451"/>
      <c r="N36" s="451"/>
      <c r="O36" s="451"/>
      <c r="P36" s="451"/>
      <c r="Q36" s="452"/>
      <c r="R36" s="99" t="s">
        <v>521</v>
      </c>
      <c r="S36" s="101">
        <v>0</v>
      </c>
      <c r="U36" s="453" t="s">
        <v>514</v>
      </c>
      <c r="V36" s="454"/>
      <c r="W36" s="455"/>
      <c r="X36" s="102">
        <v>0</v>
      </c>
      <c r="Y36" s="102">
        <v>4.4999999999999998E-2</v>
      </c>
      <c r="Z36" s="102">
        <v>4.4999999999999998E-2</v>
      </c>
    </row>
    <row r="37" spans="1:26" hidden="1" x14ac:dyDescent="0.25">
      <c r="A37" s="89" t="str">
        <f>A36</f>
        <v>Obras Portuárias, Marítimas e Fluviais</v>
      </c>
      <c r="B37" s="92" t="s">
        <v>489</v>
      </c>
      <c r="C37" s="89" t="str">
        <f t="shared" si="0"/>
        <v>Obras Portuárias, Marítimas e Fluviais-DF</v>
      </c>
      <c r="E37" s="93">
        <v>9.3999999999999986E-3</v>
      </c>
      <c r="F37" s="93">
        <v>1.0200000000000001E-2</v>
      </c>
      <c r="G37" s="93">
        <v>1.3300000000000001E-2</v>
      </c>
      <c r="I37" t="s">
        <v>502</v>
      </c>
      <c r="J37" s="450" t="s">
        <v>541</v>
      </c>
      <c r="K37" s="451"/>
      <c r="L37" s="451"/>
      <c r="M37" s="451"/>
      <c r="N37" s="451"/>
      <c r="O37" s="451"/>
      <c r="P37" s="451"/>
      <c r="Q37" s="452"/>
      <c r="R37" s="103" t="s">
        <v>492</v>
      </c>
      <c r="S37" s="101">
        <f ca="1">IF($J25=$A$70,0,ROUND((((1+S29+S30+S31)*(1+S32)*(1+S33)/(1-(S34+S35)))-1),4))</f>
        <v>0.2009</v>
      </c>
      <c r="U37" s="469" t="str">
        <f ca="1">IF(OR($J$25=$A$71,$J$25=$A$70,AND(S37&gt;=X37,S37&lt;=Z37)),"OK","FORA DO INTERVALO")</f>
        <v>OK</v>
      </c>
      <c r="V37" s="470"/>
      <c r="W37" s="471"/>
      <c r="X37" s="101">
        <f>IF($J25=$A$70,0,VLOOKUP(CONCATENATE($J25,"-",$R37),$C$2:$G$61,3,FALSE))</f>
        <v>0.19600000000000001</v>
      </c>
      <c r="Y37" s="101">
        <f>IF($J25=$A$70,0,VLOOKUP(CONCATENATE($J25,"-",$R37),$C$2:$G$61,4,FALSE))</f>
        <v>0.2097</v>
      </c>
      <c r="Z37" s="101">
        <f>IF($J25=$A$70,0,VLOOKUP(CONCATENATE($J25,"-",$R37),$C$2:$G$61,5,FALSE))</f>
        <v>0.24230000000000002</v>
      </c>
    </row>
    <row r="38" spans="1:26" x14ac:dyDescent="0.25">
      <c r="A38" s="89" t="str">
        <f>A37</f>
        <v>Obras Portuárias, Marítimas e Fluviais</v>
      </c>
      <c r="B38" s="92" t="s">
        <v>490</v>
      </c>
      <c r="C38" s="89" t="str">
        <f t="shared" si="0"/>
        <v>Obras Portuárias, Marítimas e Fluviais-L</v>
      </c>
      <c r="E38" s="93">
        <v>7.1399999999999991E-2</v>
      </c>
      <c r="F38" s="93">
        <v>8.4000000000000005E-2</v>
      </c>
      <c r="G38" s="93">
        <v>0.1043</v>
      </c>
      <c r="I38" t="s">
        <v>502</v>
      </c>
      <c r="J38" s="472" t="s">
        <v>522</v>
      </c>
      <c r="K38" s="473"/>
      <c r="L38" s="473"/>
      <c r="M38" s="473"/>
      <c r="N38" s="473"/>
      <c r="O38" s="473"/>
      <c r="P38" s="473"/>
      <c r="Q38" s="474"/>
      <c r="R38" s="104"/>
      <c r="S38" s="105">
        <f ca="1">IF($J25=$A$70,0,ROUND((((1+S29+S30+S31)*(1+S32)*(1+S33)/(1-(S34+S35+S36)))-1),4))</f>
        <v>0.2009</v>
      </c>
    </row>
    <row r="39" spans="1:26" ht="25.5" hidden="1" x14ac:dyDescent="0.25">
      <c r="A39" s="89" t="str">
        <f>A38</f>
        <v>Obras Portuárias, Marítimas e Fluviais</v>
      </c>
      <c r="B39" s="95" t="s">
        <v>492</v>
      </c>
      <c r="C39" s="89" t="str">
        <f t="shared" si="0"/>
        <v>Obras Portuárias, Marítimas e Fluviais-BDI PAD</v>
      </c>
      <c r="E39" s="93">
        <v>0.22800000000000001</v>
      </c>
      <c r="F39" s="93">
        <v>0.27479999999999999</v>
      </c>
      <c r="G39" s="93">
        <v>0.3095</v>
      </c>
      <c r="I39" t="s">
        <v>502</v>
      </c>
    </row>
    <row r="40" spans="1:26" ht="15.75" hidden="1" x14ac:dyDescent="0.25">
      <c r="A40" s="89" t="s">
        <v>523</v>
      </c>
      <c r="B40" s="92" t="s">
        <v>482</v>
      </c>
      <c r="C40" s="89" t="str">
        <f t="shared" si="0"/>
        <v>Fornecimento de Materiais e Equipamentos (aquisição indireta - em conjunto com licitação de obras)-AC</v>
      </c>
      <c r="E40" s="93">
        <v>1.4999999999999999E-2</v>
      </c>
      <c r="F40" s="93">
        <v>3.4500000000000003E-2</v>
      </c>
      <c r="G40" s="93">
        <v>4.4900000000000002E-2</v>
      </c>
      <c r="I40" t="s">
        <v>502</v>
      </c>
      <c r="J40" s="106" t="str">
        <f ca="1">IF(U37&lt;&gt;"ok","X","")</f>
        <v/>
      </c>
      <c r="K40" s="475" t="str">
        <f ca="1">IF(U37&lt;&gt;"ok","Anexo: Relatório Técnico Circunstanciado justificando a adoção do percentual de cada parcela do BDI.","")</f>
        <v/>
      </c>
      <c r="L40" s="475"/>
      <c r="M40" s="475"/>
      <c r="N40" s="475"/>
      <c r="O40" s="475"/>
      <c r="P40" s="475"/>
      <c r="Q40" s="475"/>
      <c r="R40" s="475"/>
      <c r="S40" s="475"/>
    </row>
    <row r="41" spans="1:26" x14ac:dyDescent="0.25">
      <c r="A41" s="89" t="str">
        <f>A40</f>
        <v>Fornecimento de Materiais e Equipamentos (aquisição indireta - em conjunto com licitação de obras)</v>
      </c>
      <c r="B41" s="92" t="s">
        <v>484</v>
      </c>
      <c r="C41" s="89" t="str">
        <f t="shared" si="0"/>
        <v>Fornecimento de Materiais e Equipamentos (aquisição indireta - em conjunto com licitação de obras)-SG</v>
      </c>
      <c r="E41" s="93">
        <v>3.0000000000000001E-3</v>
      </c>
      <c r="F41" s="93">
        <v>4.7999999999999996E-3</v>
      </c>
      <c r="G41" s="93">
        <v>8.199999999999999E-3</v>
      </c>
      <c r="I41" t="s">
        <v>502</v>
      </c>
    </row>
    <row r="42" spans="1:26" x14ac:dyDescent="0.25">
      <c r="A42" s="89" t="str">
        <f>A41</f>
        <v>Fornecimento de Materiais e Equipamentos (aquisição indireta - em conjunto com licitação de obras)</v>
      </c>
      <c r="B42" s="92" t="s">
        <v>485</v>
      </c>
      <c r="C42" s="89" t="str">
        <f t="shared" si="0"/>
        <v>Fornecimento de Materiais e Equipamentos (aquisição indireta - em conjunto com licitação de obras)-R</v>
      </c>
      <c r="E42" s="93">
        <v>5.6000000000000008E-3</v>
      </c>
      <c r="F42" s="93">
        <v>8.5000000000000006E-3</v>
      </c>
      <c r="G42" s="93">
        <v>8.8999999999999999E-3</v>
      </c>
      <c r="I42" t="s">
        <v>502</v>
      </c>
      <c r="J42" s="476" t="s">
        <v>524</v>
      </c>
      <c r="K42" s="476"/>
      <c r="L42" s="476"/>
      <c r="M42" s="476"/>
      <c r="N42" s="476"/>
      <c r="O42" s="476"/>
      <c r="P42" s="476"/>
      <c r="Q42" s="476"/>
      <c r="R42" s="476"/>
      <c r="S42" s="476"/>
    </row>
    <row r="43" spans="1:26" ht="15.75" x14ac:dyDescent="0.25">
      <c r="A43" s="89" t="str">
        <f>A42</f>
        <v>Fornecimento de Materiais e Equipamentos (aquisição indireta - em conjunto com licitação de obras)</v>
      </c>
      <c r="B43" s="92" t="s">
        <v>489</v>
      </c>
      <c r="C43" s="89" t="str">
        <f t="shared" si="0"/>
        <v>Fornecimento de Materiais e Equipamentos (aquisição indireta - em conjunto com licitação de obras)-DF</v>
      </c>
      <c r="E43" s="93">
        <v>8.5000000000000006E-3</v>
      </c>
      <c r="F43" s="93">
        <v>8.5000000000000006E-3</v>
      </c>
      <c r="G43" s="93">
        <v>1.11E-2</v>
      </c>
      <c r="I43" t="s">
        <v>502</v>
      </c>
      <c r="J43" s="107"/>
      <c r="K43" s="107"/>
      <c r="L43" s="107"/>
      <c r="M43" s="477" t="s">
        <v>525</v>
      </c>
      <c r="N43" s="478" t="str">
        <f>IF($J25=$A$71,"(1+K1+K2)*(1+K3)","(1+AC + S + R + G)*(1 + DF)*(1+L)")</f>
        <v>(1+AC + S + R + G)*(1 + DF)*(1+L)</v>
      </c>
      <c r="O43" s="478"/>
      <c r="P43" s="478"/>
      <c r="Q43" s="479" t="s">
        <v>526</v>
      </c>
      <c r="R43" s="107"/>
      <c r="S43" s="107"/>
    </row>
    <row r="44" spans="1:26" ht="15.75" x14ac:dyDescent="0.25">
      <c r="A44" s="89" t="str">
        <f>A43</f>
        <v>Fornecimento de Materiais e Equipamentos (aquisição indireta - em conjunto com licitação de obras)</v>
      </c>
      <c r="B44" s="92" t="s">
        <v>490</v>
      </c>
      <c r="C44" s="89" t="str">
        <f t="shared" si="0"/>
        <v>Fornecimento de Materiais e Equipamentos (aquisição indireta - em conjunto com licitação de obras)-L</v>
      </c>
      <c r="E44" s="93">
        <v>3.5000000000000003E-2</v>
      </c>
      <c r="F44" s="93">
        <v>5.1100000000000007E-2</v>
      </c>
      <c r="G44" s="93">
        <v>6.2199999999999998E-2</v>
      </c>
      <c r="I44" t="s">
        <v>502</v>
      </c>
      <c r="J44" s="107"/>
      <c r="K44" s="107"/>
      <c r="L44" s="107"/>
      <c r="M44" s="477"/>
      <c r="N44" s="480" t="s">
        <v>527</v>
      </c>
      <c r="O44" s="480"/>
      <c r="P44" s="480"/>
      <c r="Q44" s="479"/>
      <c r="R44" s="107"/>
      <c r="S44" s="107"/>
    </row>
    <row r="45" spans="1:26" ht="15" customHeight="1" x14ac:dyDescent="0.25">
      <c r="A45" s="89" t="str">
        <f>A44</f>
        <v>Fornecimento de Materiais e Equipamentos (aquisição indireta - em conjunto com licitação de obras)</v>
      </c>
      <c r="B45" s="95" t="s">
        <v>492</v>
      </c>
      <c r="C45" s="89" t="str">
        <f t="shared" si="0"/>
        <v>Fornecimento de Materiais e Equipamentos (aquisição indireta - em conjunto com licitação de obras)-BDI PAD</v>
      </c>
      <c r="E45" s="93">
        <v>0.111</v>
      </c>
      <c r="F45" s="93">
        <v>0.14019999999999999</v>
      </c>
      <c r="G45" s="93">
        <v>0.16800000000000001</v>
      </c>
      <c r="I45" t="s">
        <v>502</v>
      </c>
      <c r="J45" s="108"/>
      <c r="K45" s="108"/>
      <c r="L45" s="108"/>
      <c r="M45" s="108"/>
      <c r="N45" s="108"/>
      <c r="O45" s="108"/>
      <c r="P45" s="108"/>
      <c r="Q45" s="108"/>
      <c r="R45" s="108"/>
      <c r="S45" s="108"/>
    </row>
    <row r="46" spans="1:26" ht="30" customHeight="1" x14ac:dyDescent="0.25">
      <c r="A46" s="89" t="s">
        <v>528</v>
      </c>
      <c r="B46" s="95" t="s">
        <v>482</v>
      </c>
      <c r="C46" s="89" t="str">
        <f t="shared" si="0"/>
        <v>Fornecimento de Materiais e Equipamentos (aquisição direta)-AC</v>
      </c>
      <c r="E46" s="93" t="s">
        <v>514</v>
      </c>
      <c r="F46" s="93" t="s">
        <v>514</v>
      </c>
      <c r="G46" s="93" t="s">
        <v>514</v>
      </c>
      <c r="I46" t="s">
        <v>502</v>
      </c>
      <c r="J46" s="466" t="str">
        <f>CONCATENATE("Declaro para os devidos fins que, conforme legislação tributária municipal, a base de cálculo deste tipo de obra corresponde à ",$R$18*100,"%, com a respectiva alíquota de ",$R$19*100,"%.")</f>
        <v>Declaro para os devidos fins que, conforme legislação tributária municipal, a base de cálculo deste tipo de obra corresponde à 50%, com a respectiva alíquota de 5%.</v>
      </c>
      <c r="K46" s="467"/>
      <c r="L46" s="467"/>
      <c r="M46" s="467"/>
      <c r="N46" s="467"/>
      <c r="O46" s="467"/>
      <c r="P46" s="467"/>
      <c r="Q46" s="467"/>
      <c r="R46" s="467"/>
      <c r="S46" s="468"/>
    </row>
    <row r="47" spans="1:26" x14ac:dyDescent="0.25">
      <c r="A47" s="89" t="s">
        <v>528</v>
      </c>
      <c r="B47" s="95" t="s">
        <v>484</v>
      </c>
      <c r="C47" s="89" t="str">
        <f t="shared" si="0"/>
        <v>Fornecimento de Materiais e Equipamentos (aquisição direta)-SG</v>
      </c>
      <c r="E47" s="93" t="s">
        <v>514</v>
      </c>
      <c r="F47" s="93" t="s">
        <v>514</v>
      </c>
      <c r="G47" s="93" t="s">
        <v>514</v>
      </c>
      <c r="I47" t="s">
        <v>502</v>
      </c>
    </row>
    <row r="48" spans="1:26" hidden="1" x14ac:dyDescent="0.25">
      <c r="A48" s="89" t="s">
        <v>528</v>
      </c>
      <c r="B48" s="95" t="s">
        <v>485</v>
      </c>
      <c r="C48" s="89" t="str">
        <f t="shared" si="0"/>
        <v>Fornecimento de Materiais e Equipamentos (aquisição direta)-R</v>
      </c>
      <c r="E48" s="93" t="s">
        <v>514</v>
      </c>
      <c r="F48" s="93" t="s">
        <v>514</v>
      </c>
      <c r="G48" s="93" t="s">
        <v>514</v>
      </c>
      <c r="I48" t="s">
        <v>502</v>
      </c>
      <c r="J48" s="466"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8" s="467"/>
      <c r="L48" s="467"/>
      <c r="M48" s="467"/>
      <c r="N48" s="467"/>
      <c r="O48" s="467"/>
      <c r="P48" s="467"/>
      <c r="Q48" s="467"/>
      <c r="R48" s="467"/>
      <c r="S48" s="468"/>
    </row>
    <row r="49" spans="1:19" hidden="1" x14ac:dyDescent="0.25">
      <c r="A49" s="89" t="s">
        <v>528</v>
      </c>
      <c r="B49" s="95" t="s">
        <v>489</v>
      </c>
      <c r="C49" s="89" t="str">
        <f t="shared" si="0"/>
        <v>Fornecimento de Materiais e Equipamentos (aquisição direta)-DF</v>
      </c>
      <c r="E49" s="93" t="s">
        <v>514</v>
      </c>
      <c r="F49" s="93" t="s">
        <v>514</v>
      </c>
      <c r="G49" s="93" t="s">
        <v>514</v>
      </c>
      <c r="I49" t="s">
        <v>502</v>
      </c>
    </row>
    <row r="50" spans="1:19" hidden="1" x14ac:dyDescent="0.25">
      <c r="A50" s="89" t="s">
        <v>528</v>
      </c>
      <c r="B50" s="95" t="s">
        <v>490</v>
      </c>
      <c r="C50" s="89" t="str">
        <f t="shared" si="0"/>
        <v>Fornecimento de Materiais e Equipamentos (aquisição direta)-L</v>
      </c>
      <c r="E50" s="93" t="s">
        <v>514</v>
      </c>
      <c r="F50" s="93" t="s">
        <v>514</v>
      </c>
      <c r="G50" s="93" t="s">
        <v>514</v>
      </c>
      <c r="I50" t="s">
        <v>502</v>
      </c>
      <c r="J50" s="89" t="s">
        <v>529</v>
      </c>
    </row>
    <row r="51" spans="1:19" ht="25.5" hidden="1" x14ac:dyDescent="0.25">
      <c r="A51" s="89" t="s">
        <v>528</v>
      </c>
      <c r="B51" s="95" t="s">
        <v>492</v>
      </c>
      <c r="C51" s="89" t="str">
        <f t="shared" si="0"/>
        <v>Fornecimento de Materiais e Equipamentos (aquisição direta)-BDI PAD</v>
      </c>
      <c r="E51" s="93" t="s">
        <v>514</v>
      </c>
      <c r="F51" s="93" t="s">
        <v>514</v>
      </c>
      <c r="G51" s="93" t="s">
        <v>514</v>
      </c>
      <c r="I51" t="s">
        <v>502</v>
      </c>
      <c r="J51" s="482"/>
      <c r="K51" s="483"/>
      <c r="L51" s="483"/>
      <c r="M51" s="483"/>
      <c r="N51" s="483"/>
      <c r="O51" s="483"/>
      <c r="P51" s="483"/>
      <c r="Q51" s="483"/>
      <c r="R51" s="483"/>
      <c r="S51" s="484"/>
    </row>
    <row r="52" spans="1:19" hidden="1" x14ac:dyDescent="0.25">
      <c r="A52" s="89" t="s">
        <v>530</v>
      </c>
      <c r="B52" s="92" t="s">
        <v>531</v>
      </c>
      <c r="C52" s="89" t="str">
        <f t="shared" si="0"/>
        <v>Estudos e Projetos, Planos e Gerenciamento e outros correlatos-K1</v>
      </c>
      <c r="E52" s="93" t="s">
        <v>514</v>
      </c>
      <c r="F52" s="93" t="s">
        <v>514</v>
      </c>
      <c r="G52" s="93" t="s">
        <v>514</v>
      </c>
      <c r="I52" t="s">
        <v>502</v>
      </c>
    </row>
    <row r="53" spans="1:19" hidden="1" x14ac:dyDescent="0.25">
      <c r="A53" s="89" t="str">
        <f>A52</f>
        <v>Estudos e Projetos, Planos e Gerenciamento e outros correlatos</v>
      </c>
      <c r="B53" s="92" t="s">
        <v>532</v>
      </c>
      <c r="C53" s="89" t="str">
        <f t="shared" si="0"/>
        <v>Estudos e Projetos, Planos e Gerenciamento e outros correlatos-K2</v>
      </c>
      <c r="E53" s="93" t="s">
        <v>514</v>
      </c>
      <c r="F53" s="93">
        <v>0.2</v>
      </c>
      <c r="G53" s="93" t="s">
        <v>514</v>
      </c>
      <c r="I53" t="s">
        <v>502</v>
      </c>
      <c r="J53" s="485">
        <f>Import.Município</f>
        <v>7.400000000000001E-2</v>
      </c>
      <c r="K53" s="485"/>
      <c r="L53" s="485"/>
      <c r="M53" s="485"/>
      <c r="P53" s="486">
        <f>[1]DADOS!$F$25</f>
        <v>43235</v>
      </c>
      <c r="Q53" s="486"/>
      <c r="R53" s="486"/>
      <c r="S53" s="486"/>
    </row>
    <row r="54" spans="1:19" hidden="1" x14ac:dyDescent="0.25">
      <c r="A54" s="89" t="str">
        <f>A53</f>
        <v>Estudos e Projetos, Planos e Gerenciamento e outros correlatos</v>
      </c>
      <c r="B54" s="92"/>
      <c r="C54" s="89" t="str">
        <f t="shared" si="0"/>
        <v>Estudos e Projetos, Planos e Gerenciamento e outros correlatos-</v>
      </c>
      <c r="E54" s="93" t="s">
        <v>514</v>
      </c>
      <c r="F54" s="93" t="s">
        <v>514</v>
      </c>
      <c r="G54" s="93" t="s">
        <v>514</v>
      </c>
      <c r="I54" t="s">
        <v>502</v>
      </c>
      <c r="J54" s="487" t="s">
        <v>533</v>
      </c>
      <c r="K54" s="487"/>
      <c r="L54" s="487"/>
      <c r="M54" s="487"/>
      <c r="O54" s="109"/>
      <c r="P54" s="110" t="s">
        <v>534</v>
      </c>
      <c r="Q54" s="111"/>
      <c r="R54" s="111"/>
      <c r="S54" s="111"/>
    </row>
    <row r="55" spans="1:19" hidden="1" x14ac:dyDescent="0.25">
      <c r="A55" s="89" t="str">
        <f>A54</f>
        <v>Estudos e Projetos, Planos e Gerenciamento e outros correlatos</v>
      </c>
      <c r="B55" s="92"/>
      <c r="C55" s="89" t="str">
        <f t="shared" si="0"/>
        <v>Estudos e Projetos, Planos e Gerenciamento e outros correlatos-</v>
      </c>
      <c r="E55" s="93" t="s">
        <v>514</v>
      </c>
      <c r="F55" s="93" t="s">
        <v>514</v>
      </c>
      <c r="G55" s="93" t="s">
        <v>514</v>
      </c>
      <c r="I55" t="s">
        <v>502</v>
      </c>
    </row>
    <row r="56" spans="1:19" hidden="1" x14ac:dyDescent="0.25">
      <c r="A56" s="89" t="str">
        <f>A55</f>
        <v>Estudos e Projetos, Planos e Gerenciamento e outros correlatos</v>
      </c>
      <c r="B56" s="92" t="s">
        <v>535</v>
      </c>
      <c r="C56" s="89" t="str">
        <f t="shared" si="0"/>
        <v>Estudos e Projetos, Planos e Gerenciamento e outros correlatos-K3</v>
      </c>
      <c r="E56" s="93" t="s">
        <v>514</v>
      </c>
      <c r="F56" s="93">
        <v>0.12</v>
      </c>
      <c r="G56" s="93" t="s">
        <v>514</v>
      </c>
      <c r="I56" t="s">
        <v>502</v>
      </c>
      <c r="J56" s="488"/>
      <c r="K56" s="488"/>
      <c r="L56" s="488"/>
      <c r="M56" s="488"/>
      <c r="N56" s="112"/>
    </row>
    <row r="57" spans="1:19" ht="25.5" hidden="1" x14ac:dyDescent="0.25">
      <c r="A57" s="89" t="str">
        <f>A56</f>
        <v>Estudos e Projetos, Planos e Gerenciamento e outros correlatos</v>
      </c>
      <c r="B57" s="95" t="s">
        <v>492</v>
      </c>
      <c r="C57" s="89" t="str">
        <f t="shared" si="0"/>
        <v>Estudos e Projetos, Planos e Gerenciamento e outros correlatos-BDI PAD</v>
      </c>
      <c r="E57" s="93" t="s">
        <v>514</v>
      </c>
      <c r="F57" s="93" t="s">
        <v>514</v>
      </c>
      <c r="G57" s="93" t="s">
        <v>514</v>
      </c>
      <c r="I57" t="s">
        <v>502</v>
      </c>
      <c r="J57" s="481" t="s">
        <v>536</v>
      </c>
      <c r="K57" s="481"/>
      <c r="L57" s="481"/>
      <c r="M57" s="481"/>
    </row>
    <row r="58" spans="1:19" hidden="1" x14ac:dyDescent="0.25">
      <c r="B58" s="95"/>
      <c r="E58" s="93"/>
      <c r="F58" s="93"/>
      <c r="G58" s="93"/>
      <c r="I58" t="s">
        <v>502</v>
      </c>
      <c r="J58" s="113" t="s">
        <v>537</v>
      </c>
      <c r="K58" s="114">
        <f t="array" ref="K58:K60">Import.RespOrçamento</f>
        <v>4.9299999999999997E-2</v>
      </c>
      <c r="L58" s="115"/>
      <c r="M58" s="115"/>
      <c r="N58" s="112"/>
    </row>
    <row r="59" spans="1:19" hidden="1" x14ac:dyDescent="0.25">
      <c r="A59"/>
      <c r="B59"/>
      <c r="C59"/>
      <c r="D59"/>
      <c r="E59"/>
      <c r="F59"/>
      <c r="G59"/>
      <c r="I59" t="s">
        <v>502</v>
      </c>
      <c r="J59" s="113" t="s">
        <v>538</v>
      </c>
      <c r="K59" s="114">
        <v>4.8999999999999998E-3</v>
      </c>
      <c r="L59" s="115"/>
      <c r="M59" s="115"/>
      <c r="N59" s="112"/>
    </row>
    <row r="60" spans="1:19" hidden="1" x14ac:dyDescent="0.25">
      <c r="A60"/>
      <c r="B60"/>
      <c r="C60"/>
      <c r="D60"/>
      <c r="E60"/>
      <c r="F60"/>
      <c r="G60"/>
      <c r="I60" t="s">
        <v>502</v>
      </c>
      <c r="J60" s="113" t="s">
        <v>539</v>
      </c>
      <c r="K60" s="114">
        <v>1.3899999999999999E-2</v>
      </c>
      <c r="L60" s="115"/>
      <c r="M60" s="115"/>
      <c r="N60" s="112"/>
    </row>
    <row r="61" spans="1:19" x14ac:dyDescent="0.25">
      <c r="A61"/>
      <c r="B61"/>
      <c r="C61"/>
      <c r="D61"/>
      <c r="E61"/>
      <c r="F61"/>
      <c r="G61"/>
      <c r="I61" t="s">
        <v>502</v>
      </c>
      <c r="J61" s="113"/>
      <c r="K61" s="116"/>
      <c r="L61" s="115"/>
      <c r="M61" s="115"/>
      <c r="N61" s="112"/>
    </row>
    <row r="62" spans="1:19" x14ac:dyDescent="0.25">
      <c r="A62"/>
      <c r="B62"/>
      <c r="C62"/>
      <c r="D62"/>
      <c r="E62"/>
      <c r="F62"/>
      <c r="G62"/>
    </row>
    <row r="63" spans="1:19" x14ac:dyDescent="0.25">
      <c r="A63" s="89" t="s">
        <v>540</v>
      </c>
    </row>
    <row r="64" spans="1:19" x14ac:dyDescent="0.25">
      <c r="A64" s="89" t="s">
        <v>481</v>
      </c>
    </row>
    <row r="65" spans="1:1" x14ac:dyDescent="0.25">
      <c r="A65" s="89" t="s">
        <v>494</v>
      </c>
    </row>
    <row r="66" spans="1:1" x14ac:dyDescent="0.25">
      <c r="A66" s="89" t="s">
        <v>503</v>
      </c>
    </row>
    <row r="67" spans="1:1" x14ac:dyDescent="0.25">
      <c r="A67" s="89" t="s">
        <v>513</v>
      </c>
    </row>
    <row r="68" spans="1:1" x14ac:dyDescent="0.25">
      <c r="A68" s="89" t="s">
        <v>515</v>
      </c>
    </row>
    <row r="69" spans="1:1" x14ac:dyDescent="0.25">
      <c r="A69" s="89" t="s">
        <v>523</v>
      </c>
    </row>
    <row r="70" spans="1:1" x14ac:dyDescent="0.25">
      <c r="A70" s="89" t="s">
        <v>528</v>
      </c>
    </row>
    <row r="71" spans="1:1" x14ac:dyDescent="0.25">
      <c r="A71" s="89" t="s">
        <v>530</v>
      </c>
    </row>
  </sheetData>
  <mergeCells count="59">
    <mergeCell ref="J57:M57"/>
    <mergeCell ref="J48:S48"/>
    <mergeCell ref="J51:S51"/>
    <mergeCell ref="J53:M53"/>
    <mergeCell ref="P53:S53"/>
    <mergeCell ref="J54:M54"/>
    <mergeCell ref="J56:M56"/>
    <mergeCell ref="J46:S46"/>
    <mergeCell ref="J36:Q36"/>
    <mergeCell ref="U36:W36"/>
    <mergeCell ref="J37:Q37"/>
    <mergeCell ref="U37:W37"/>
    <mergeCell ref="J38:Q38"/>
    <mergeCell ref="K40:S40"/>
    <mergeCell ref="J42:S42"/>
    <mergeCell ref="M43:M44"/>
    <mergeCell ref="N43:P43"/>
    <mergeCell ref="Q43:Q44"/>
    <mergeCell ref="N44:P44"/>
    <mergeCell ref="J33:Q33"/>
    <mergeCell ref="U33:W33"/>
    <mergeCell ref="J34:Q34"/>
    <mergeCell ref="U34:W34"/>
    <mergeCell ref="J35:Q35"/>
    <mergeCell ref="U35:W35"/>
    <mergeCell ref="J30:Q30"/>
    <mergeCell ref="U30:W30"/>
    <mergeCell ref="J31:Q31"/>
    <mergeCell ref="U31:W31"/>
    <mergeCell ref="J32:Q32"/>
    <mergeCell ref="U32:W32"/>
    <mergeCell ref="U27:W28"/>
    <mergeCell ref="X27:X28"/>
    <mergeCell ref="Y27:Y28"/>
    <mergeCell ref="Z27:Z28"/>
    <mergeCell ref="J29:Q29"/>
    <mergeCell ref="U29:W29"/>
    <mergeCell ref="J27:Q28"/>
    <mergeCell ref="R27:R28"/>
    <mergeCell ref="S27:S28"/>
    <mergeCell ref="J19:Q19"/>
    <mergeCell ref="R19:S19"/>
    <mergeCell ref="J22:S22"/>
    <mergeCell ref="J24:S24"/>
    <mergeCell ref="J25:S25"/>
    <mergeCell ref="I6:I18"/>
    <mergeCell ref="J7:S7"/>
    <mergeCell ref="J8:S8"/>
    <mergeCell ref="J10:S10"/>
    <mergeCell ref="J18:Q18"/>
    <mergeCell ref="R18:S18"/>
    <mergeCell ref="J5:K5"/>
    <mergeCell ref="L5:M5"/>
    <mergeCell ref="N5:S5"/>
    <mergeCell ref="R1:S1"/>
    <mergeCell ref="R2:S2"/>
    <mergeCell ref="J4:K4"/>
    <mergeCell ref="L4:M4"/>
    <mergeCell ref="N4:S4"/>
  </mergeCells>
  <conditionalFormatting sqref="J38:S38">
    <cfRule type="expression" dxfId="37" priority="1" stopIfTrue="1">
      <formula>DESONERACAO="não"</formula>
    </cfRule>
  </conditionalFormatting>
  <conditionalFormatting sqref="U37:W37">
    <cfRule type="expression" dxfId="36" priority="2" stopIfTrue="1">
      <formula>AND(U37&lt;&gt;"OK",U37&lt;&gt;"-",U37&lt;&gt;"")</formula>
    </cfRule>
    <cfRule type="cellIs" dxfId="35" priority="3" stopIfTrue="1" operator="equal">
      <formula>"OK"</formula>
    </cfRule>
  </conditionalFormatting>
  <conditionalFormatting sqref="S37">
    <cfRule type="expression" dxfId="34" priority="4" stopIfTrue="1">
      <formula>DESONERACAO="não"</formula>
    </cfRule>
  </conditionalFormatting>
  <dataValidations count="6">
    <dataValidation type="decimal" allowBlank="1" showErrorMessage="1" errorTitle="Erro de valores" error="Digite um valor entre 0% e 100%" sqref="S29:S34 JO29:JO34 TK29:TK34 ADG29:ADG34 ANC29:ANC34 AWY29:AWY34 BGU29:BGU34 BQQ29:BQQ34 CAM29:CAM34 CKI29:CKI34 CUE29:CUE34 DEA29:DEA34 DNW29:DNW34 DXS29:DXS34 EHO29:EHO34 ERK29:ERK34 FBG29:FBG34 FLC29:FLC34 FUY29:FUY34 GEU29:GEU34 GOQ29:GOQ34 GYM29:GYM34 HII29:HII34 HSE29:HSE34 ICA29:ICA34 ILW29:ILW34 IVS29:IVS34 JFO29:JFO34 JPK29:JPK34 JZG29:JZG34 KJC29:KJC34 KSY29:KSY34 LCU29:LCU34 LMQ29:LMQ34 LWM29:LWM34 MGI29:MGI34 MQE29:MQE34 NAA29:NAA34 NJW29:NJW34 NTS29:NTS34 ODO29:ODO34 ONK29:ONK34 OXG29:OXG34 PHC29:PHC34 PQY29:PQY34 QAU29:QAU34 QKQ29:QKQ34 QUM29:QUM34 REI29:REI34 ROE29:ROE34 RYA29:RYA34 SHW29:SHW34 SRS29:SRS34 TBO29:TBO34 TLK29:TLK34 TVG29:TVG34 UFC29:UFC34 UOY29:UOY34 UYU29:UYU34 VIQ29:VIQ34 VSM29:VSM34 WCI29:WCI34 WME29:WME34 WWA29:WWA34 S65482:S65487 JO65482:JO65487 TK65482:TK65487 ADG65482:ADG65487 ANC65482:ANC65487 AWY65482:AWY65487 BGU65482:BGU65487 BQQ65482:BQQ65487 CAM65482:CAM65487 CKI65482:CKI65487 CUE65482:CUE65487 DEA65482:DEA65487 DNW65482:DNW65487 DXS65482:DXS65487 EHO65482:EHO65487 ERK65482:ERK65487 FBG65482:FBG65487 FLC65482:FLC65487 FUY65482:FUY65487 GEU65482:GEU65487 GOQ65482:GOQ65487 GYM65482:GYM65487 HII65482:HII65487 HSE65482:HSE65487 ICA65482:ICA65487 ILW65482:ILW65487 IVS65482:IVS65487 JFO65482:JFO65487 JPK65482:JPK65487 JZG65482:JZG65487 KJC65482:KJC65487 KSY65482:KSY65487 LCU65482:LCU65487 LMQ65482:LMQ65487 LWM65482:LWM65487 MGI65482:MGI65487 MQE65482:MQE65487 NAA65482:NAA65487 NJW65482:NJW65487 NTS65482:NTS65487 ODO65482:ODO65487 ONK65482:ONK65487 OXG65482:OXG65487 PHC65482:PHC65487 PQY65482:PQY65487 QAU65482:QAU65487 QKQ65482:QKQ65487 QUM65482:QUM65487 REI65482:REI65487 ROE65482:ROE65487 RYA65482:RYA65487 SHW65482:SHW65487 SRS65482:SRS65487 TBO65482:TBO65487 TLK65482:TLK65487 TVG65482:TVG65487 UFC65482:UFC65487 UOY65482:UOY65487 UYU65482:UYU65487 VIQ65482:VIQ65487 VSM65482:VSM65487 WCI65482:WCI65487 WME65482:WME65487 WWA65482:WWA65487 S131018:S131023 JO131018:JO131023 TK131018:TK131023 ADG131018:ADG131023 ANC131018:ANC131023 AWY131018:AWY131023 BGU131018:BGU131023 BQQ131018:BQQ131023 CAM131018:CAM131023 CKI131018:CKI131023 CUE131018:CUE131023 DEA131018:DEA131023 DNW131018:DNW131023 DXS131018:DXS131023 EHO131018:EHO131023 ERK131018:ERK131023 FBG131018:FBG131023 FLC131018:FLC131023 FUY131018:FUY131023 GEU131018:GEU131023 GOQ131018:GOQ131023 GYM131018:GYM131023 HII131018:HII131023 HSE131018:HSE131023 ICA131018:ICA131023 ILW131018:ILW131023 IVS131018:IVS131023 JFO131018:JFO131023 JPK131018:JPK131023 JZG131018:JZG131023 KJC131018:KJC131023 KSY131018:KSY131023 LCU131018:LCU131023 LMQ131018:LMQ131023 LWM131018:LWM131023 MGI131018:MGI131023 MQE131018:MQE131023 NAA131018:NAA131023 NJW131018:NJW131023 NTS131018:NTS131023 ODO131018:ODO131023 ONK131018:ONK131023 OXG131018:OXG131023 PHC131018:PHC131023 PQY131018:PQY131023 QAU131018:QAU131023 QKQ131018:QKQ131023 QUM131018:QUM131023 REI131018:REI131023 ROE131018:ROE131023 RYA131018:RYA131023 SHW131018:SHW131023 SRS131018:SRS131023 TBO131018:TBO131023 TLK131018:TLK131023 TVG131018:TVG131023 UFC131018:UFC131023 UOY131018:UOY131023 UYU131018:UYU131023 VIQ131018:VIQ131023 VSM131018:VSM131023 WCI131018:WCI131023 WME131018:WME131023 WWA131018:WWA131023 S196554:S196559 JO196554:JO196559 TK196554:TK196559 ADG196554:ADG196559 ANC196554:ANC196559 AWY196554:AWY196559 BGU196554:BGU196559 BQQ196554:BQQ196559 CAM196554:CAM196559 CKI196554:CKI196559 CUE196554:CUE196559 DEA196554:DEA196559 DNW196554:DNW196559 DXS196554:DXS196559 EHO196554:EHO196559 ERK196554:ERK196559 FBG196554:FBG196559 FLC196554:FLC196559 FUY196554:FUY196559 GEU196554:GEU196559 GOQ196554:GOQ196559 GYM196554:GYM196559 HII196554:HII196559 HSE196554:HSE196559 ICA196554:ICA196559 ILW196554:ILW196559 IVS196554:IVS196559 JFO196554:JFO196559 JPK196554:JPK196559 JZG196554:JZG196559 KJC196554:KJC196559 KSY196554:KSY196559 LCU196554:LCU196559 LMQ196554:LMQ196559 LWM196554:LWM196559 MGI196554:MGI196559 MQE196554:MQE196559 NAA196554:NAA196559 NJW196554:NJW196559 NTS196554:NTS196559 ODO196554:ODO196559 ONK196554:ONK196559 OXG196554:OXG196559 PHC196554:PHC196559 PQY196554:PQY196559 QAU196554:QAU196559 QKQ196554:QKQ196559 QUM196554:QUM196559 REI196554:REI196559 ROE196554:ROE196559 RYA196554:RYA196559 SHW196554:SHW196559 SRS196554:SRS196559 TBO196554:TBO196559 TLK196554:TLK196559 TVG196554:TVG196559 UFC196554:UFC196559 UOY196554:UOY196559 UYU196554:UYU196559 VIQ196554:VIQ196559 VSM196554:VSM196559 WCI196554:WCI196559 WME196554:WME196559 WWA196554:WWA196559 S262090:S262095 JO262090:JO262095 TK262090:TK262095 ADG262090:ADG262095 ANC262090:ANC262095 AWY262090:AWY262095 BGU262090:BGU262095 BQQ262090:BQQ262095 CAM262090:CAM262095 CKI262090:CKI262095 CUE262090:CUE262095 DEA262090:DEA262095 DNW262090:DNW262095 DXS262090:DXS262095 EHO262090:EHO262095 ERK262090:ERK262095 FBG262090:FBG262095 FLC262090:FLC262095 FUY262090:FUY262095 GEU262090:GEU262095 GOQ262090:GOQ262095 GYM262090:GYM262095 HII262090:HII262095 HSE262090:HSE262095 ICA262090:ICA262095 ILW262090:ILW262095 IVS262090:IVS262095 JFO262090:JFO262095 JPK262090:JPK262095 JZG262090:JZG262095 KJC262090:KJC262095 KSY262090:KSY262095 LCU262090:LCU262095 LMQ262090:LMQ262095 LWM262090:LWM262095 MGI262090:MGI262095 MQE262090:MQE262095 NAA262090:NAA262095 NJW262090:NJW262095 NTS262090:NTS262095 ODO262090:ODO262095 ONK262090:ONK262095 OXG262090:OXG262095 PHC262090:PHC262095 PQY262090:PQY262095 QAU262090:QAU262095 QKQ262090:QKQ262095 QUM262090:QUM262095 REI262090:REI262095 ROE262090:ROE262095 RYA262090:RYA262095 SHW262090:SHW262095 SRS262090:SRS262095 TBO262090:TBO262095 TLK262090:TLK262095 TVG262090:TVG262095 UFC262090:UFC262095 UOY262090:UOY262095 UYU262090:UYU262095 VIQ262090:VIQ262095 VSM262090:VSM262095 WCI262090:WCI262095 WME262090:WME262095 WWA262090:WWA262095 S327626:S327631 JO327626:JO327631 TK327626:TK327631 ADG327626:ADG327631 ANC327626:ANC327631 AWY327626:AWY327631 BGU327626:BGU327631 BQQ327626:BQQ327631 CAM327626:CAM327631 CKI327626:CKI327631 CUE327626:CUE327631 DEA327626:DEA327631 DNW327626:DNW327631 DXS327626:DXS327631 EHO327626:EHO327631 ERK327626:ERK327631 FBG327626:FBG327631 FLC327626:FLC327631 FUY327626:FUY327631 GEU327626:GEU327631 GOQ327626:GOQ327631 GYM327626:GYM327631 HII327626:HII327631 HSE327626:HSE327631 ICA327626:ICA327631 ILW327626:ILW327631 IVS327626:IVS327631 JFO327626:JFO327631 JPK327626:JPK327631 JZG327626:JZG327631 KJC327626:KJC327631 KSY327626:KSY327631 LCU327626:LCU327631 LMQ327626:LMQ327631 LWM327626:LWM327631 MGI327626:MGI327631 MQE327626:MQE327631 NAA327626:NAA327631 NJW327626:NJW327631 NTS327626:NTS327631 ODO327626:ODO327631 ONK327626:ONK327631 OXG327626:OXG327631 PHC327626:PHC327631 PQY327626:PQY327631 QAU327626:QAU327631 QKQ327626:QKQ327631 QUM327626:QUM327631 REI327626:REI327631 ROE327626:ROE327631 RYA327626:RYA327631 SHW327626:SHW327631 SRS327626:SRS327631 TBO327626:TBO327631 TLK327626:TLK327631 TVG327626:TVG327631 UFC327626:UFC327631 UOY327626:UOY327631 UYU327626:UYU327631 VIQ327626:VIQ327631 VSM327626:VSM327631 WCI327626:WCI327631 WME327626:WME327631 WWA327626:WWA327631 S393162:S393167 JO393162:JO393167 TK393162:TK393167 ADG393162:ADG393167 ANC393162:ANC393167 AWY393162:AWY393167 BGU393162:BGU393167 BQQ393162:BQQ393167 CAM393162:CAM393167 CKI393162:CKI393167 CUE393162:CUE393167 DEA393162:DEA393167 DNW393162:DNW393167 DXS393162:DXS393167 EHO393162:EHO393167 ERK393162:ERK393167 FBG393162:FBG393167 FLC393162:FLC393167 FUY393162:FUY393167 GEU393162:GEU393167 GOQ393162:GOQ393167 GYM393162:GYM393167 HII393162:HII393167 HSE393162:HSE393167 ICA393162:ICA393167 ILW393162:ILW393167 IVS393162:IVS393167 JFO393162:JFO393167 JPK393162:JPK393167 JZG393162:JZG393167 KJC393162:KJC393167 KSY393162:KSY393167 LCU393162:LCU393167 LMQ393162:LMQ393167 LWM393162:LWM393167 MGI393162:MGI393167 MQE393162:MQE393167 NAA393162:NAA393167 NJW393162:NJW393167 NTS393162:NTS393167 ODO393162:ODO393167 ONK393162:ONK393167 OXG393162:OXG393167 PHC393162:PHC393167 PQY393162:PQY393167 QAU393162:QAU393167 QKQ393162:QKQ393167 QUM393162:QUM393167 REI393162:REI393167 ROE393162:ROE393167 RYA393162:RYA393167 SHW393162:SHW393167 SRS393162:SRS393167 TBO393162:TBO393167 TLK393162:TLK393167 TVG393162:TVG393167 UFC393162:UFC393167 UOY393162:UOY393167 UYU393162:UYU393167 VIQ393162:VIQ393167 VSM393162:VSM393167 WCI393162:WCI393167 WME393162:WME393167 WWA393162:WWA393167 S458698:S458703 JO458698:JO458703 TK458698:TK458703 ADG458698:ADG458703 ANC458698:ANC458703 AWY458698:AWY458703 BGU458698:BGU458703 BQQ458698:BQQ458703 CAM458698:CAM458703 CKI458698:CKI458703 CUE458698:CUE458703 DEA458698:DEA458703 DNW458698:DNW458703 DXS458698:DXS458703 EHO458698:EHO458703 ERK458698:ERK458703 FBG458698:FBG458703 FLC458698:FLC458703 FUY458698:FUY458703 GEU458698:GEU458703 GOQ458698:GOQ458703 GYM458698:GYM458703 HII458698:HII458703 HSE458698:HSE458703 ICA458698:ICA458703 ILW458698:ILW458703 IVS458698:IVS458703 JFO458698:JFO458703 JPK458698:JPK458703 JZG458698:JZG458703 KJC458698:KJC458703 KSY458698:KSY458703 LCU458698:LCU458703 LMQ458698:LMQ458703 LWM458698:LWM458703 MGI458698:MGI458703 MQE458698:MQE458703 NAA458698:NAA458703 NJW458698:NJW458703 NTS458698:NTS458703 ODO458698:ODO458703 ONK458698:ONK458703 OXG458698:OXG458703 PHC458698:PHC458703 PQY458698:PQY458703 QAU458698:QAU458703 QKQ458698:QKQ458703 QUM458698:QUM458703 REI458698:REI458703 ROE458698:ROE458703 RYA458698:RYA458703 SHW458698:SHW458703 SRS458698:SRS458703 TBO458698:TBO458703 TLK458698:TLK458703 TVG458698:TVG458703 UFC458698:UFC458703 UOY458698:UOY458703 UYU458698:UYU458703 VIQ458698:VIQ458703 VSM458698:VSM458703 WCI458698:WCI458703 WME458698:WME458703 WWA458698:WWA458703 S524234:S524239 JO524234:JO524239 TK524234:TK524239 ADG524234:ADG524239 ANC524234:ANC524239 AWY524234:AWY524239 BGU524234:BGU524239 BQQ524234:BQQ524239 CAM524234:CAM524239 CKI524234:CKI524239 CUE524234:CUE524239 DEA524234:DEA524239 DNW524234:DNW524239 DXS524234:DXS524239 EHO524234:EHO524239 ERK524234:ERK524239 FBG524234:FBG524239 FLC524234:FLC524239 FUY524234:FUY524239 GEU524234:GEU524239 GOQ524234:GOQ524239 GYM524234:GYM524239 HII524234:HII524239 HSE524234:HSE524239 ICA524234:ICA524239 ILW524234:ILW524239 IVS524234:IVS524239 JFO524234:JFO524239 JPK524234:JPK524239 JZG524234:JZG524239 KJC524234:KJC524239 KSY524234:KSY524239 LCU524234:LCU524239 LMQ524234:LMQ524239 LWM524234:LWM524239 MGI524234:MGI524239 MQE524234:MQE524239 NAA524234:NAA524239 NJW524234:NJW524239 NTS524234:NTS524239 ODO524234:ODO524239 ONK524234:ONK524239 OXG524234:OXG524239 PHC524234:PHC524239 PQY524234:PQY524239 QAU524234:QAU524239 QKQ524234:QKQ524239 QUM524234:QUM524239 REI524234:REI524239 ROE524234:ROE524239 RYA524234:RYA524239 SHW524234:SHW524239 SRS524234:SRS524239 TBO524234:TBO524239 TLK524234:TLK524239 TVG524234:TVG524239 UFC524234:UFC524239 UOY524234:UOY524239 UYU524234:UYU524239 VIQ524234:VIQ524239 VSM524234:VSM524239 WCI524234:WCI524239 WME524234:WME524239 WWA524234:WWA524239 S589770:S589775 JO589770:JO589775 TK589770:TK589775 ADG589770:ADG589775 ANC589770:ANC589775 AWY589770:AWY589775 BGU589770:BGU589775 BQQ589770:BQQ589775 CAM589770:CAM589775 CKI589770:CKI589775 CUE589770:CUE589775 DEA589770:DEA589775 DNW589770:DNW589775 DXS589770:DXS589775 EHO589770:EHO589775 ERK589770:ERK589775 FBG589770:FBG589775 FLC589770:FLC589775 FUY589770:FUY589775 GEU589770:GEU589775 GOQ589770:GOQ589775 GYM589770:GYM589775 HII589770:HII589775 HSE589770:HSE589775 ICA589770:ICA589775 ILW589770:ILW589775 IVS589770:IVS589775 JFO589770:JFO589775 JPK589770:JPK589775 JZG589770:JZG589775 KJC589770:KJC589775 KSY589770:KSY589775 LCU589770:LCU589775 LMQ589770:LMQ589775 LWM589770:LWM589775 MGI589770:MGI589775 MQE589770:MQE589775 NAA589770:NAA589775 NJW589770:NJW589775 NTS589770:NTS589775 ODO589770:ODO589775 ONK589770:ONK589775 OXG589770:OXG589775 PHC589770:PHC589775 PQY589770:PQY589775 QAU589770:QAU589775 QKQ589770:QKQ589775 QUM589770:QUM589775 REI589770:REI589775 ROE589770:ROE589775 RYA589770:RYA589775 SHW589770:SHW589775 SRS589770:SRS589775 TBO589770:TBO589775 TLK589770:TLK589775 TVG589770:TVG589775 UFC589770:UFC589775 UOY589770:UOY589775 UYU589770:UYU589775 VIQ589770:VIQ589775 VSM589770:VSM589775 WCI589770:WCI589775 WME589770:WME589775 WWA589770:WWA589775 S655306:S655311 JO655306:JO655311 TK655306:TK655311 ADG655306:ADG655311 ANC655306:ANC655311 AWY655306:AWY655311 BGU655306:BGU655311 BQQ655306:BQQ655311 CAM655306:CAM655311 CKI655306:CKI655311 CUE655306:CUE655311 DEA655306:DEA655311 DNW655306:DNW655311 DXS655306:DXS655311 EHO655306:EHO655311 ERK655306:ERK655311 FBG655306:FBG655311 FLC655306:FLC655311 FUY655306:FUY655311 GEU655306:GEU655311 GOQ655306:GOQ655311 GYM655306:GYM655311 HII655306:HII655311 HSE655306:HSE655311 ICA655306:ICA655311 ILW655306:ILW655311 IVS655306:IVS655311 JFO655306:JFO655311 JPK655306:JPK655311 JZG655306:JZG655311 KJC655306:KJC655311 KSY655306:KSY655311 LCU655306:LCU655311 LMQ655306:LMQ655311 LWM655306:LWM655311 MGI655306:MGI655311 MQE655306:MQE655311 NAA655306:NAA655311 NJW655306:NJW655311 NTS655306:NTS655311 ODO655306:ODO655311 ONK655306:ONK655311 OXG655306:OXG655311 PHC655306:PHC655311 PQY655306:PQY655311 QAU655306:QAU655311 QKQ655306:QKQ655311 QUM655306:QUM655311 REI655306:REI655311 ROE655306:ROE655311 RYA655306:RYA655311 SHW655306:SHW655311 SRS655306:SRS655311 TBO655306:TBO655311 TLK655306:TLK655311 TVG655306:TVG655311 UFC655306:UFC655311 UOY655306:UOY655311 UYU655306:UYU655311 VIQ655306:VIQ655311 VSM655306:VSM655311 WCI655306:WCI655311 WME655306:WME655311 WWA655306:WWA655311 S720842:S720847 JO720842:JO720847 TK720842:TK720847 ADG720842:ADG720847 ANC720842:ANC720847 AWY720842:AWY720847 BGU720842:BGU720847 BQQ720842:BQQ720847 CAM720842:CAM720847 CKI720842:CKI720847 CUE720842:CUE720847 DEA720842:DEA720847 DNW720842:DNW720847 DXS720842:DXS720847 EHO720842:EHO720847 ERK720842:ERK720847 FBG720842:FBG720847 FLC720842:FLC720847 FUY720842:FUY720847 GEU720842:GEU720847 GOQ720842:GOQ720847 GYM720842:GYM720847 HII720842:HII720847 HSE720842:HSE720847 ICA720842:ICA720847 ILW720842:ILW720847 IVS720842:IVS720847 JFO720842:JFO720847 JPK720842:JPK720847 JZG720842:JZG720847 KJC720842:KJC720847 KSY720842:KSY720847 LCU720842:LCU720847 LMQ720842:LMQ720847 LWM720842:LWM720847 MGI720842:MGI720847 MQE720842:MQE720847 NAA720842:NAA720847 NJW720842:NJW720847 NTS720842:NTS720847 ODO720842:ODO720847 ONK720842:ONK720847 OXG720842:OXG720847 PHC720842:PHC720847 PQY720842:PQY720847 QAU720842:QAU720847 QKQ720842:QKQ720847 QUM720842:QUM720847 REI720842:REI720847 ROE720842:ROE720847 RYA720842:RYA720847 SHW720842:SHW720847 SRS720842:SRS720847 TBO720842:TBO720847 TLK720842:TLK720847 TVG720842:TVG720847 UFC720842:UFC720847 UOY720842:UOY720847 UYU720842:UYU720847 VIQ720842:VIQ720847 VSM720842:VSM720847 WCI720842:WCI720847 WME720842:WME720847 WWA720842:WWA720847 S786378:S786383 JO786378:JO786383 TK786378:TK786383 ADG786378:ADG786383 ANC786378:ANC786383 AWY786378:AWY786383 BGU786378:BGU786383 BQQ786378:BQQ786383 CAM786378:CAM786383 CKI786378:CKI786383 CUE786378:CUE786383 DEA786378:DEA786383 DNW786378:DNW786383 DXS786378:DXS786383 EHO786378:EHO786383 ERK786378:ERK786383 FBG786378:FBG786383 FLC786378:FLC786383 FUY786378:FUY786383 GEU786378:GEU786383 GOQ786378:GOQ786383 GYM786378:GYM786383 HII786378:HII786383 HSE786378:HSE786383 ICA786378:ICA786383 ILW786378:ILW786383 IVS786378:IVS786383 JFO786378:JFO786383 JPK786378:JPK786383 JZG786378:JZG786383 KJC786378:KJC786383 KSY786378:KSY786383 LCU786378:LCU786383 LMQ786378:LMQ786383 LWM786378:LWM786383 MGI786378:MGI786383 MQE786378:MQE786383 NAA786378:NAA786383 NJW786378:NJW786383 NTS786378:NTS786383 ODO786378:ODO786383 ONK786378:ONK786383 OXG786378:OXG786383 PHC786378:PHC786383 PQY786378:PQY786383 QAU786378:QAU786383 QKQ786378:QKQ786383 QUM786378:QUM786383 REI786378:REI786383 ROE786378:ROE786383 RYA786378:RYA786383 SHW786378:SHW786383 SRS786378:SRS786383 TBO786378:TBO786383 TLK786378:TLK786383 TVG786378:TVG786383 UFC786378:UFC786383 UOY786378:UOY786383 UYU786378:UYU786383 VIQ786378:VIQ786383 VSM786378:VSM786383 WCI786378:WCI786383 WME786378:WME786383 WWA786378:WWA786383 S851914:S851919 JO851914:JO851919 TK851914:TK851919 ADG851914:ADG851919 ANC851914:ANC851919 AWY851914:AWY851919 BGU851914:BGU851919 BQQ851914:BQQ851919 CAM851914:CAM851919 CKI851914:CKI851919 CUE851914:CUE851919 DEA851914:DEA851919 DNW851914:DNW851919 DXS851914:DXS851919 EHO851914:EHO851919 ERK851914:ERK851919 FBG851914:FBG851919 FLC851914:FLC851919 FUY851914:FUY851919 GEU851914:GEU851919 GOQ851914:GOQ851919 GYM851914:GYM851919 HII851914:HII851919 HSE851914:HSE851919 ICA851914:ICA851919 ILW851914:ILW851919 IVS851914:IVS851919 JFO851914:JFO851919 JPK851914:JPK851919 JZG851914:JZG851919 KJC851914:KJC851919 KSY851914:KSY851919 LCU851914:LCU851919 LMQ851914:LMQ851919 LWM851914:LWM851919 MGI851914:MGI851919 MQE851914:MQE851919 NAA851914:NAA851919 NJW851914:NJW851919 NTS851914:NTS851919 ODO851914:ODO851919 ONK851914:ONK851919 OXG851914:OXG851919 PHC851914:PHC851919 PQY851914:PQY851919 QAU851914:QAU851919 QKQ851914:QKQ851919 QUM851914:QUM851919 REI851914:REI851919 ROE851914:ROE851919 RYA851914:RYA851919 SHW851914:SHW851919 SRS851914:SRS851919 TBO851914:TBO851919 TLK851914:TLK851919 TVG851914:TVG851919 UFC851914:UFC851919 UOY851914:UOY851919 UYU851914:UYU851919 VIQ851914:VIQ851919 VSM851914:VSM851919 WCI851914:WCI851919 WME851914:WME851919 WWA851914:WWA851919 S917450:S917455 JO917450:JO917455 TK917450:TK917455 ADG917450:ADG917455 ANC917450:ANC917455 AWY917450:AWY917455 BGU917450:BGU917455 BQQ917450:BQQ917455 CAM917450:CAM917455 CKI917450:CKI917455 CUE917450:CUE917455 DEA917450:DEA917455 DNW917450:DNW917455 DXS917450:DXS917455 EHO917450:EHO917455 ERK917450:ERK917455 FBG917450:FBG917455 FLC917450:FLC917455 FUY917450:FUY917455 GEU917450:GEU917455 GOQ917450:GOQ917455 GYM917450:GYM917455 HII917450:HII917455 HSE917450:HSE917455 ICA917450:ICA917455 ILW917450:ILW917455 IVS917450:IVS917455 JFO917450:JFO917455 JPK917450:JPK917455 JZG917450:JZG917455 KJC917450:KJC917455 KSY917450:KSY917455 LCU917450:LCU917455 LMQ917450:LMQ917455 LWM917450:LWM917455 MGI917450:MGI917455 MQE917450:MQE917455 NAA917450:NAA917455 NJW917450:NJW917455 NTS917450:NTS917455 ODO917450:ODO917455 ONK917450:ONK917455 OXG917450:OXG917455 PHC917450:PHC917455 PQY917450:PQY917455 QAU917450:QAU917455 QKQ917450:QKQ917455 QUM917450:QUM917455 REI917450:REI917455 ROE917450:ROE917455 RYA917450:RYA917455 SHW917450:SHW917455 SRS917450:SRS917455 TBO917450:TBO917455 TLK917450:TLK917455 TVG917450:TVG917455 UFC917450:UFC917455 UOY917450:UOY917455 UYU917450:UYU917455 VIQ917450:VIQ917455 VSM917450:VSM917455 WCI917450:WCI917455 WME917450:WME917455 WWA917450:WWA917455 S982986:S982991 JO982986:JO982991 TK982986:TK982991 ADG982986:ADG982991 ANC982986:ANC982991 AWY982986:AWY982991 BGU982986:BGU982991 BQQ982986:BQQ982991 CAM982986:CAM982991 CKI982986:CKI982991 CUE982986:CUE982991 DEA982986:DEA982991 DNW982986:DNW982991 DXS982986:DXS982991 EHO982986:EHO982991 ERK982986:ERK982991 FBG982986:FBG982991 FLC982986:FLC982991 FUY982986:FUY982991 GEU982986:GEU982991 GOQ982986:GOQ982991 GYM982986:GYM982991 HII982986:HII982991 HSE982986:HSE982991 ICA982986:ICA982991 ILW982986:ILW982991 IVS982986:IVS982991 JFO982986:JFO982991 JPK982986:JPK982991 JZG982986:JZG982991 KJC982986:KJC982991 KSY982986:KSY982991 LCU982986:LCU982991 LMQ982986:LMQ982991 LWM982986:LWM982991 MGI982986:MGI982991 MQE982986:MQE982991 NAA982986:NAA982991 NJW982986:NJW982991 NTS982986:NTS982991 ODO982986:ODO982991 ONK982986:ONK982991 OXG982986:OXG982991 PHC982986:PHC982991 PQY982986:PQY982991 QAU982986:QAU982991 QKQ982986:QKQ982991 QUM982986:QUM982991 REI982986:REI982991 ROE982986:ROE982991 RYA982986:RYA982991 SHW982986:SHW982991 SRS982986:SRS982991 TBO982986:TBO982991 TLK982986:TLK982991 TVG982986:TVG982991 UFC982986:UFC982991 UOY982986:UOY982991 UYU982986:UYU982991 VIQ982986:VIQ982991 VSM982986:VSM982991 WCI982986:WCI982991 WME982986:WME982991 WWA982986:WWA982991 S65522:S65527 JO65522:JO65527 TK65522:TK65527 ADG65522:ADG65527 ANC65522:ANC65527 AWY65522:AWY65527 BGU65522:BGU65527 BQQ65522:BQQ65527 CAM65522:CAM65527 CKI65522:CKI65527 CUE65522:CUE65527 DEA65522:DEA65527 DNW65522:DNW65527 DXS65522:DXS65527 EHO65522:EHO65527 ERK65522:ERK65527 FBG65522:FBG65527 FLC65522:FLC65527 FUY65522:FUY65527 GEU65522:GEU65527 GOQ65522:GOQ65527 GYM65522:GYM65527 HII65522:HII65527 HSE65522:HSE65527 ICA65522:ICA65527 ILW65522:ILW65527 IVS65522:IVS65527 JFO65522:JFO65527 JPK65522:JPK65527 JZG65522:JZG65527 KJC65522:KJC65527 KSY65522:KSY65527 LCU65522:LCU65527 LMQ65522:LMQ65527 LWM65522:LWM65527 MGI65522:MGI65527 MQE65522:MQE65527 NAA65522:NAA65527 NJW65522:NJW65527 NTS65522:NTS65527 ODO65522:ODO65527 ONK65522:ONK65527 OXG65522:OXG65527 PHC65522:PHC65527 PQY65522:PQY65527 QAU65522:QAU65527 QKQ65522:QKQ65527 QUM65522:QUM65527 REI65522:REI65527 ROE65522:ROE65527 RYA65522:RYA65527 SHW65522:SHW65527 SRS65522:SRS65527 TBO65522:TBO65527 TLK65522:TLK65527 TVG65522:TVG65527 UFC65522:UFC65527 UOY65522:UOY65527 UYU65522:UYU65527 VIQ65522:VIQ65527 VSM65522:VSM65527 WCI65522:WCI65527 WME65522:WME65527 WWA65522:WWA65527 S131058:S131063 JO131058:JO131063 TK131058:TK131063 ADG131058:ADG131063 ANC131058:ANC131063 AWY131058:AWY131063 BGU131058:BGU131063 BQQ131058:BQQ131063 CAM131058:CAM131063 CKI131058:CKI131063 CUE131058:CUE131063 DEA131058:DEA131063 DNW131058:DNW131063 DXS131058:DXS131063 EHO131058:EHO131063 ERK131058:ERK131063 FBG131058:FBG131063 FLC131058:FLC131063 FUY131058:FUY131063 GEU131058:GEU131063 GOQ131058:GOQ131063 GYM131058:GYM131063 HII131058:HII131063 HSE131058:HSE131063 ICA131058:ICA131063 ILW131058:ILW131063 IVS131058:IVS131063 JFO131058:JFO131063 JPK131058:JPK131063 JZG131058:JZG131063 KJC131058:KJC131063 KSY131058:KSY131063 LCU131058:LCU131063 LMQ131058:LMQ131063 LWM131058:LWM131063 MGI131058:MGI131063 MQE131058:MQE131063 NAA131058:NAA131063 NJW131058:NJW131063 NTS131058:NTS131063 ODO131058:ODO131063 ONK131058:ONK131063 OXG131058:OXG131063 PHC131058:PHC131063 PQY131058:PQY131063 QAU131058:QAU131063 QKQ131058:QKQ131063 QUM131058:QUM131063 REI131058:REI131063 ROE131058:ROE131063 RYA131058:RYA131063 SHW131058:SHW131063 SRS131058:SRS131063 TBO131058:TBO131063 TLK131058:TLK131063 TVG131058:TVG131063 UFC131058:UFC131063 UOY131058:UOY131063 UYU131058:UYU131063 VIQ131058:VIQ131063 VSM131058:VSM131063 WCI131058:WCI131063 WME131058:WME131063 WWA131058:WWA131063 S196594:S196599 JO196594:JO196599 TK196594:TK196599 ADG196594:ADG196599 ANC196594:ANC196599 AWY196594:AWY196599 BGU196594:BGU196599 BQQ196594:BQQ196599 CAM196594:CAM196599 CKI196594:CKI196599 CUE196594:CUE196599 DEA196594:DEA196599 DNW196594:DNW196599 DXS196594:DXS196599 EHO196594:EHO196599 ERK196594:ERK196599 FBG196594:FBG196599 FLC196594:FLC196599 FUY196594:FUY196599 GEU196594:GEU196599 GOQ196594:GOQ196599 GYM196594:GYM196599 HII196594:HII196599 HSE196594:HSE196599 ICA196594:ICA196599 ILW196594:ILW196599 IVS196594:IVS196599 JFO196594:JFO196599 JPK196594:JPK196599 JZG196594:JZG196599 KJC196594:KJC196599 KSY196594:KSY196599 LCU196594:LCU196599 LMQ196594:LMQ196599 LWM196594:LWM196599 MGI196594:MGI196599 MQE196594:MQE196599 NAA196594:NAA196599 NJW196594:NJW196599 NTS196594:NTS196599 ODO196594:ODO196599 ONK196594:ONK196599 OXG196594:OXG196599 PHC196594:PHC196599 PQY196594:PQY196599 QAU196594:QAU196599 QKQ196594:QKQ196599 QUM196594:QUM196599 REI196594:REI196599 ROE196594:ROE196599 RYA196594:RYA196599 SHW196594:SHW196599 SRS196594:SRS196599 TBO196594:TBO196599 TLK196594:TLK196599 TVG196594:TVG196599 UFC196594:UFC196599 UOY196594:UOY196599 UYU196594:UYU196599 VIQ196594:VIQ196599 VSM196594:VSM196599 WCI196594:WCI196599 WME196594:WME196599 WWA196594:WWA196599 S262130:S262135 JO262130:JO262135 TK262130:TK262135 ADG262130:ADG262135 ANC262130:ANC262135 AWY262130:AWY262135 BGU262130:BGU262135 BQQ262130:BQQ262135 CAM262130:CAM262135 CKI262130:CKI262135 CUE262130:CUE262135 DEA262130:DEA262135 DNW262130:DNW262135 DXS262130:DXS262135 EHO262130:EHO262135 ERK262130:ERK262135 FBG262130:FBG262135 FLC262130:FLC262135 FUY262130:FUY262135 GEU262130:GEU262135 GOQ262130:GOQ262135 GYM262130:GYM262135 HII262130:HII262135 HSE262130:HSE262135 ICA262130:ICA262135 ILW262130:ILW262135 IVS262130:IVS262135 JFO262130:JFO262135 JPK262130:JPK262135 JZG262130:JZG262135 KJC262130:KJC262135 KSY262130:KSY262135 LCU262130:LCU262135 LMQ262130:LMQ262135 LWM262130:LWM262135 MGI262130:MGI262135 MQE262130:MQE262135 NAA262130:NAA262135 NJW262130:NJW262135 NTS262130:NTS262135 ODO262130:ODO262135 ONK262130:ONK262135 OXG262130:OXG262135 PHC262130:PHC262135 PQY262130:PQY262135 QAU262130:QAU262135 QKQ262130:QKQ262135 QUM262130:QUM262135 REI262130:REI262135 ROE262130:ROE262135 RYA262130:RYA262135 SHW262130:SHW262135 SRS262130:SRS262135 TBO262130:TBO262135 TLK262130:TLK262135 TVG262130:TVG262135 UFC262130:UFC262135 UOY262130:UOY262135 UYU262130:UYU262135 VIQ262130:VIQ262135 VSM262130:VSM262135 WCI262130:WCI262135 WME262130:WME262135 WWA262130:WWA262135 S327666:S327671 JO327666:JO327671 TK327666:TK327671 ADG327666:ADG327671 ANC327666:ANC327671 AWY327666:AWY327671 BGU327666:BGU327671 BQQ327666:BQQ327671 CAM327666:CAM327671 CKI327666:CKI327671 CUE327666:CUE327671 DEA327666:DEA327671 DNW327666:DNW327671 DXS327666:DXS327671 EHO327666:EHO327671 ERK327666:ERK327671 FBG327666:FBG327671 FLC327666:FLC327671 FUY327666:FUY327671 GEU327666:GEU327671 GOQ327666:GOQ327671 GYM327666:GYM327671 HII327666:HII327671 HSE327666:HSE327671 ICA327666:ICA327671 ILW327666:ILW327671 IVS327666:IVS327671 JFO327666:JFO327671 JPK327666:JPK327671 JZG327666:JZG327671 KJC327666:KJC327671 KSY327666:KSY327671 LCU327666:LCU327671 LMQ327666:LMQ327671 LWM327666:LWM327671 MGI327666:MGI327671 MQE327666:MQE327671 NAA327666:NAA327671 NJW327666:NJW327671 NTS327666:NTS327671 ODO327666:ODO327671 ONK327666:ONK327671 OXG327666:OXG327671 PHC327666:PHC327671 PQY327666:PQY327671 QAU327666:QAU327671 QKQ327666:QKQ327671 QUM327666:QUM327671 REI327666:REI327671 ROE327666:ROE327671 RYA327666:RYA327671 SHW327666:SHW327671 SRS327666:SRS327671 TBO327666:TBO327671 TLK327666:TLK327671 TVG327666:TVG327671 UFC327666:UFC327671 UOY327666:UOY327671 UYU327666:UYU327671 VIQ327666:VIQ327671 VSM327666:VSM327671 WCI327666:WCI327671 WME327666:WME327671 WWA327666:WWA327671 S393202:S393207 JO393202:JO393207 TK393202:TK393207 ADG393202:ADG393207 ANC393202:ANC393207 AWY393202:AWY393207 BGU393202:BGU393207 BQQ393202:BQQ393207 CAM393202:CAM393207 CKI393202:CKI393207 CUE393202:CUE393207 DEA393202:DEA393207 DNW393202:DNW393207 DXS393202:DXS393207 EHO393202:EHO393207 ERK393202:ERK393207 FBG393202:FBG393207 FLC393202:FLC393207 FUY393202:FUY393207 GEU393202:GEU393207 GOQ393202:GOQ393207 GYM393202:GYM393207 HII393202:HII393207 HSE393202:HSE393207 ICA393202:ICA393207 ILW393202:ILW393207 IVS393202:IVS393207 JFO393202:JFO393207 JPK393202:JPK393207 JZG393202:JZG393207 KJC393202:KJC393207 KSY393202:KSY393207 LCU393202:LCU393207 LMQ393202:LMQ393207 LWM393202:LWM393207 MGI393202:MGI393207 MQE393202:MQE393207 NAA393202:NAA393207 NJW393202:NJW393207 NTS393202:NTS393207 ODO393202:ODO393207 ONK393202:ONK393207 OXG393202:OXG393207 PHC393202:PHC393207 PQY393202:PQY393207 QAU393202:QAU393207 QKQ393202:QKQ393207 QUM393202:QUM393207 REI393202:REI393207 ROE393202:ROE393207 RYA393202:RYA393207 SHW393202:SHW393207 SRS393202:SRS393207 TBO393202:TBO393207 TLK393202:TLK393207 TVG393202:TVG393207 UFC393202:UFC393207 UOY393202:UOY393207 UYU393202:UYU393207 VIQ393202:VIQ393207 VSM393202:VSM393207 WCI393202:WCI393207 WME393202:WME393207 WWA393202:WWA393207 S458738:S458743 JO458738:JO458743 TK458738:TK458743 ADG458738:ADG458743 ANC458738:ANC458743 AWY458738:AWY458743 BGU458738:BGU458743 BQQ458738:BQQ458743 CAM458738:CAM458743 CKI458738:CKI458743 CUE458738:CUE458743 DEA458738:DEA458743 DNW458738:DNW458743 DXS458738:DXS458743 EHO458738:EHO458743 ERK458738:ERK458743 FBG458738:FBG458743 FLC458738:FLC458743 FUY458738:FUY458743 GEU458738:GEU458743 GOQ458738:GOQ458743 GYM458738:GYM458743 HII458738:HII458743 HSE458738:HSE458743 ICA458738:ICA458743 ILW458738:ILW458743 IVS458738:IVS458743 JFO458738:JFO458743 JPK458738:JPK458743 JZG458738:JZG458743 KJC458738:KJC458743 KSY458738:KSY458743 LCU458738:LCU458743 LMQ458738:LMQ458743 LWM458738:LWM458743 MGI458738:MGI458743 MQE458738:MQE458743 NAA458738:NAA458743 NJW458738:NJW458743 NTS458738:NTS458743 ODO458738:ODO458743 ONK458738:ONK458743 OXG458738:OXG458743 PHC458738:PHC458743 PQY458738:PQY458743 QAU458738:QAU458743 QKQ458738:QKQ458743 QUM458738:QUM458743 REI458738:REI458743 ROE458738:ROE458743 RYA458738:RYA458743 SHW458738:SHW458743 SRS458738:SRS458743 TBO458738:TBO458743 TLK458738:TLK458743 TVG458738:TVG458743 UFC458738:UFC458743 UOY458738:UOY458743 UYU458738:UYU458743 VIQ458738:VIQ458743 VSM458738:VSM458743 WCI458738:WCI458743 WME458738:WME458743 WWA458738:WWA458743 S524274:S524279 JO524274:JO524279 TK524274:TK524279 ADG524274:ADG524279 ANC524274:ANC524279 AWY524274:AWY524279 BGU524274:BGU524279 BQQ524274:BQQ524279 CAM524274:CAM524279 CKI524274:CKI524279 CUE524274:CUE524279 DEA524274:DEA524279 DNW524274:DNW524279 DXS524274:DXS524279 EHO524274:EHO524279 ERK524274:ERK524279 FBG524274:FBG524279 FLC524274:FLC524279 FUY524274:FUY524279 GEU524274:GEU524279 GOQ524274:GOQ524279 GYM524274:GYM524279 HII524274:HII524279 HSE524274:HSE524279 ICA524274:ICA524279 ILW524274:ILW524279 IVS524274:IVS524279 JFO524274:JFO524279 JPK524274:JPK524279 JZG524274:JZG524279 KJC524274:KJC524279 KSY524274:KSY524279 LCU524274:LCU524279 LMQ524274:LMQ524279 LWM524274:LWM524279 MGI524274:MGI524279 MQE524274:MQE524279 NAA524274:NAA524279 NJW524274:NJW524279 NTS524274:NTS524279 ODO524274:ODO524279 ONK524274:ONK524279 OXG524274:OXG524279 PHC524274:PHC524279 PQY524274:PQY524279 QAU524274:QAU524279 QKQ524274:QKQ524279 QUM524274:QUM524279 REI524274:REI524279 ROE524274:ROE524279 RYA524274:RYA524279 SHW524274:SHW524279 SRS524274:SRS524279 TBO524274:TBO524279 TLK524274:TLK524279 TVG524274:TVG524279 UFC524274:UFC524279 UOY524274:UOY524279 UYU524274:UYU524279 VIQ524274:VIQ524279 VSM524274:VSM524279 WCI524274:WCI524279 WME524274:WME524279 WWA524274:WWA524279 S589810:S589815 JO589810:JO589815 TK589810:TK589815 ADG589810:ADG589815 ANC589810:ANC589815 AWY589810:AWY589815 BGU589810:BGU589815 BQQ589810:BQQ589815 CAM589810:CAM589815 CKI589810:CKI589815 CUE589810:CUE589815 DEA589810:DEA589815 DNW589810:DNW589815 DXS589810:DXS589815 EHO589810:EHO589815 ERK589810:ERK589815 FBG589810:FBG589815 FLC589810:FLC589815 FUY589810:FUY589815 GEU589810:GEU589815 GOQ589810:GOQ589815 GYM589810:GYM589815 HII589810:HII589815 HSE589810:HSE589815 ICA589810:ICA589815 ILW589810:ILW589815 IVS589810:IVS589815 JFO589810:JFO589815 JPK589810:JPK589815 JZG589810:JZG589815 KJC589810:KJC589815 KSY589810:KSY589815 LCU589810:LCU589815 LMQ589810:LMQ589815 LWM589810:LWM589815 MGI589810:MGI589815 MQE589810:MQE589815 NAA589810:NAA589815 NJW589810:NJW589815 NTS589810:NTS589815 ODO589810:ODO589815 ONK589810:ONK589815 OXG589810:OXG589815 PHC589810:PHC589815 PQY589810:PQY589815 QAU589810:QAU589815 QKQ589810:QKQ589815 QUM589810:QUM589815 REI589810:REI589815 ROE589810:ROE589815 RYA589810:RYA589815 SHW589810:SHW589815 SRS589810:SRS589815 TBO589810:TBO589815 TLK589810:TLK589815 TVG589810:TVG589815 UFC589810:UFC589815 UOY589810:UOY589815 UYU589810:UYU589815 VIQ589810:VIQ589815 VSM589810:VSM589815 WCI589810:WCI589815 WME589810:WME589815 WWA589810:WWA589815 S655346:S655351 JO655346:JO655351 TK655346:TK655351 ADG655346:ADG655351 ANC655346:ANC655351 AWY655346:AWY655351 BGU655346:BGU655351 BQQ655346:BQQ655351 CAM655346:CAM655351 CKI655346:CKI655351 CUE655346:CUE655351 DEA655346:DEA655351 DNW655346:DNW655351 DXS655346:DXS655351 EHO655346:EHO655351 ERK655346:ERK655351 FBG655346:FBG655351 FLC655346:FLC655351 FUY655346:FUY655351 GEU655346:GEU655351 GOQ655346:GOQ655351 GYM655346:GYM655351 HII655346:HII655351 HSE655346:HSE655351 ICA655346:ICA655351 ILW655346:ILW655351 IVS655346:IVS655351 JFO655346:JFO655351 JPK655346:JPK655351 JZG655346:JZG655351 KJC655346:KJC655351 KSY655346:KSY655351 LCU655346:LCU655351 LMQ655346:LMQ655351 LWM655346:LWM655351 MGI655346:MGI655351 MQE655346:MQE655351 NAA655346:NAA655351 NJW655346:NJW655351 NTS655346:NTS655351 ODO655346:ODO655351 ONK655346:ONK655351 OXG655346:OXG655351 PHC655346:PHC655351 PQY655346:PQY655351 QAU655346:QAU655351 QKQ655346:QKQ655351 QUM655346:QUM655351 REI655346:REI655351 ROE655346:ROE655351 RYA655346:RYA655351 SHW655346:SHW655351 SRS655346:SRS655351 TBO655346:TBO655351 TLK655346:TLK655351 TVG655346:TVG655351 UFC655346:UFC655351 UOY655346:UOY655351 UYU655346:UYU655351 VIQ655346:VIQ655351 VSM655346:VSM655351 WCI655346:WCI655351 WME655346:WME655351 WWA655346:WWA655351 S720882:S720887 JO720882:JO720887 TK720882:TK720887 ADG720882:ADG720887 ANC720882:ANC720887 AWY720882:AWY720887 BGU720882:BGU720887 BQQ720882:BQQ720887 CAM720882:CAM720887 CKI720882:CKI720887 CUE720882:CUE720887 DEA720882:DEA720887 DNW720882:DNW720887 DXS720882:DXS720887 EHO720882:EHO720887 ERK720882:ERK720887 FBG720882:FBG720887 FLC720882:FLC720887 FUY720882:FUY720887 GEU720882:GEU720887 GOQ720882:GOQ720887 GYM720882:GYM720887 HII720882:HII720887 HSE720882:HSE720887 ICA720882:ICA720887 ILW720882:ILW720887 IVS720882:IVS720887 JFO720882:JFO720887 JPK720882:JPK720887 JZG720882:JZG720887 KJC720882:KJC720887 KSY720882:KSY720887 LCU720882:LCU720887 LMQ720882:LMQ720887 LWM720882:LWM720887 MGI720882:MGI720887 MQE720882:MQE720887 NAA720882:NAA720887 NJW720882:NJW720887 NTS720882:NTS720887 ODO720882:ODO720887 ONK720882:ONK720887 OXG720882:OXG720887 PHC720882:PHC720887 PQY720882:PQY720887 QAU720882:QAU720887 QKQ720882:QKQ720887 QUM720882:QUM720887 REI720882:REI720887 ROE720882:ROE720887 RYA720882:RYA720887 SHW720882:SHW720887 SRS720882:SRS720887 TBO720882:TBO720887 TLK720882:TLK720887 TVG720882:TVG720887 UFC720882:UFC720887 UOY720882:UOY720887 UYU720882:UYU720887 VIQ720882:VIQ720887 VSM720882:VSM720887 WCI720882:WCI720887 WME720882:WME720887 WWA720882:WWA720887 S786418:S786423 JO786418:JO786423 TK786418:TK786423 ADG786418:ADG786423 ANC786418:ANC786423 AWY786418:AWY786423 BGU786418:BGU786423 BQQ786418:BQQ786423 CAM786418:CAM786423 CKI786418:CKI786423 CUE786418:CUE786423 DEA786418:DEA786423 DNW786418:DNW786423 DXS786418:DXS786423 EHO786418:EHO786423 ERK786418:ERK786423 FBG786418:FBG786423 FLC786418:FLC786423 FUY786418:FUY786423 GEU786418:GEU786423 GOQ786418:GOQ786423 GYM786418:GYM786423 HII786418:HII786423 HSE786418:HSE786423 ICA786418:ICA786423 ILW786418:ILW786423 IVS786418:IVS786423 JFO786418:JFO786423 JPK786418:JPK786423 JZG786418:JZG786423 KJC786418:KJC786423 KSY786418:KSY786423 LCU786418:LCU786423 LMQ786418:LMQ786423 LWM786418:LWM786423 MGI786418:MGI786423 MQE786418:MQE786423 NAA786418:NAA786423 NJW786418:NJW786423 NTS786418:NTS786423 ODO786418:ODO786423 ONK786418:ONK786423 OXG786418:OXG786423 PHC786418:PHC786423 PQY786418:PQY786423 QAU786418:QAU786423 QKQ786418:QKQ786423 QUM786418:QUM786423 REI786418:REI786423 ROE786418:ROE786423 RYA786418:RYA786423 SHW786418:SHW786423 SRS786418:SRS786423 TBO786418:TBO786423 TLK786418:TLK786423 TVG786418:TVG786423 UFC786418:UFC786423 UOY786418:UOY786423 UYU786418:UYU786423 VIQ786418:VIQ786423 VSM786418:VSM786423 WCI786418:WCI786423 WME786418:WME786423 WWA786418:WWA786423 S851954:S851959 JO851954:JO851959 TK851954:TK851959 ADG851954:ADG851959 ANC851954:ANC851959 AWY851954:AWY851959 BGU851954:BGU851959 BQQ851954:BQQ851959 CAM851954:CAM851959 CKI851954:CKI851959 CUE851954:CUE851959 DEA851954:DEA851959 DNW851954:DNW851959 DXS851954:DXS851959 EHO851954:EHO851959 ERK851954:ERK851959 FBG851954:FBG851959 FLC851954:FLC851959 FUY851954:FUY851959 GEU851954:GEU851959 GOQ851954:GOQ851959 GYM851954:GYM851959 HII851954:HII851959 HSE851954:HSE851959 ICA851954:ICA851959 ILW851954:ILW851959 IVS851954:IVS851959 JFO851954:JFO851959 JPK851954:JPK851959 JZG851954:JZG851959 KJC851954:KJC851959 KSY851954:KSY851959 LCU851954:LCU851959 LMQ851954:LMQ851959 LWM851954:LWM851959 MGI851954:MGI851959 MQE851954:MQE851959 NAA851954:NAA851959 NJW851954:NJW851959 NTS851954:NTS851959 ODO851954:ODO851959 ONK851954:ONK851959 OXG851954:OXG851959 PHC851954:PHC851959 PQY851954:PQY851959 QAU851954:QAU851959 QKQ851954:QKQ851959 QUM851954:QUM851959 REI851954:REI851959 ROE851954:ROE851959 RYA851954:RYA851959 SHW851954:SHW851959 SRS851954:SRS851959 TBO851954:TBO851959 TLK851954:TLK851959 TVG851954:TVG851959 UFC851954:UFC851959 UOY851954:UOY851959 UYU851954:UYU851959 VIQ851954:VIQ851959 VSM851954:VSM851959 WCI851954:WCI851959 WME851954:WME851959 WWA851954:WWA851959 S917490:S917495 JO917490:JO917495 TK917490:TK917495 ADG917490:ADG917495 ANC917490:ANC917495 AWY917490:AWY917495 BGU917490:BGU917495 BQQ917490:BQQ917495 CAM917490:CAM917495 CKI917490:CKI917495 CUE917490:CUE917495 DEA917490:DEA917495 DNW917490:DNW917495 DXS917490:DXS917495 EHO917490:EHO917495 ERK917490:ERK917495 FBG917490:FBG917495 FLC917490:FLC917495 FUY917490:FUY917495 GEU917490:GEU917495 GOQ917490:GOQ917495 GYM917490:GYM917495 HII917490:HII917495 HSE917490:HSE917495 ICA917490:ICA917495 ILW917490:ILW917495 IVS917490:IVS917495 JFO917490:JFO917495 JPK917490:JPK917495 JZG917490:JZG917495 KJC917490:KJC917495 KSY917490:KSY917495 LCU917490:LCU917495 LMQ917490:LMQ917495 LWM917490:LWM917495 MGI917490:MGI917495 MQE917490:MQE917495 NAA917490:NAA917495 NJW917490:NJW917495 NTS917490:NTS917495 ODO917490:ODO917495 ONK917490:ONK917495 OXG917490:OXG917495 PHC917490:PHC917495 PQY917490:PQY917495 QAU917490:QAU917495 QKQ917490:QKQ917495 QUM917490:QUM917495 REI917490:REI917495 ROE917490:ROE917495 RYA917490:RYA917495 SHW917490:SHW917495 SRS917490:SRS917495 TBO917490:TBO917495 TLK917490:TLK917495 TVG917490:TVG917495 UFC917490:UFC917495 UOY917490:UOY917495 UYU917490:UYU917495 VIQ917490:VIQ917495 VSM917490:VSM917495 WCI917490:WCI917495 WME917490:WME917495 WWA917490:WWA917495 S983026:S983031 JO983026:JO983031 TK983026:TK983031 ADG983026:ADG983031 ANC983026:ANC983031 AWY983026:AWY983031 BGU983026:BGU983031 BQQ983026:BQQ983031 CAM983026:CAM983031 CKI983026:CKI983031 CUE983026:CUE983031 DEA983026:DEA983031 DNW983026:DNW983031 DXS983026:DXS983031 EHO983026:EHO983031 ERK983026:ERK983031 FBG983026:FBG983031 FLC983026:FLC983031 FUY983026:FUY983031 GEU983026:GEU983031 GOQ983026:GOQ983031 GYM983026:GYM983031 HII983026:HII983031 HSE983026:HSE983031 ICA983026:ICA983031 ILW983026:ILW983031 IVS983026:IVS983031 JFO983026:JFO983031 JPK983026:JPK983031 JZG983026:JZG983031 KJC983026:KJC983031 KSY983026:KSY983031 LCU983026:LCU983031 LMQ983026:LMQ983031 LWM983026:LWM983031 MGI983026:MGI983031 MQE983026:MQE983031 NAA983026:NAA983031 NJW983026:NJW983031 NTS983026:NTS983031 ODO983026:ODO983031 ONK983026:ONK983031 OXG983026:OXG983031 PHC983026:PHC983031 PQY983026:PQY983031 QAU983026:QAU983031 QKQ983026:QKQ983031 QUM983026:QUM983031 REI983026:REI983031 ROE983026:ROE983031 RYA983026:RYA983031 SHW983026:SHW983031 SRS983026:SRS983031 TBO983026:TBO983031 TLK983026:TLK983031 TVG983026:TVG983031 UFC983026:UFC983031 UOY983026:UOY983031 UYU983026:UYU983031 VIQ983026:VIQ983031 VSM983026:VSM983031 WCI983026:WCI983031 WME983026:WME983031 WWA983026:WWA983031 S65562:S65567 JO65562:JO65567 TK65562:TK65567 ADG65562:ADG65567 ANC65562:ANC65567 AWY65562:AWY65567 BGU65562:BGU65567 BQQ65562:BQQ65567 CAM65562:CAM65567 CKI65562:CKI65567 CUE65562:CUE65567 DEA65562:DEA65567 DNW65562:DNW65567 DXS65562:DXS65567 EHO65562:EHO65567 ERK65562:ERK65567 FBG65562:FBG65567 FLC65562:FLC65567 FUY65562:FUY65567 GEU65562:GEU65567 GOQ65562:GOQ65567 GYM65562:GYM65567 HII65562:HII65567 HSE65562:HSE65567 ICA65562:ICA65567 ILW65562:ILW65567 IVS65562:IVS65567 JFO65562:JFO65567 JPK65562:JPK65567 JZG65562:JZG65567 KJC65562:KJC65567 KSY65562:KSY65567 LCU65562:LCU65567 LMQ65562:LMQ65567 LWM65562:LWM65567 MGI65562:MGI65567 MQE65562:MQE65567 NAA65562:NAA65567 NJW65562:NJW65567 NTS65562:NTS65567 ODO65562:ODO65567 ONK65562:ONK65567 OXG65562:OXG65567 PHC65562:PHC65567 PQY65562:PQY65567 QAU65562:QAU65567 QKQ65562:QKQ65567 QUM65562:QUM65567 REI65562:REI65567 ROE65562:ROE65567 RYA65562:RYA65567 SHW65562:SHW65567 SRS65562:SRS65567 TBO65562:TBO65567 TLK65562:TLK65567 TVG65562:TVG65567 UFC65562:UFC65567 UOY65562:UOY65567 UYU65562:UYU65567 VIQ65562:VIQ65567 VSM65562:VSM65567 WCI65562:WCI65567 WME65562:WME65567 WWA65562:WWA65567 S131098:S131103 JO131098:JO131103 TK131098:TK131103 ADG131098:ADG131103 ANC131098:ANC131103 AWY131098:AWY131103 BGU131098:BGU131103 BQQ131098:BQQ131103 CAM131098:CAM131103 CKI131098:CKI131103 CUE131098:CUE131103 DEA131098:DEA131103 DNW131098:DNW131103 DXS131098:DXS131103 EHO131098:EHO131103 ERK131098:ERK131103 FBG131098:FBG131103 FLC131098:FLC131103 FUY131098:FUY131103 GEU131098:GEU131103 GOQ131098:GOQ131103 GYM131098:GYM131103 HII131098:HII131103 HSE131098:HSE131103 ICA131098:ICA131103 ILW131098:ILW131103 IVS131098:IVS131103 JFO131098:JFO131103 JPK131098:JPK131103 JZG131098:JZG131103 KJC131098:KJC131103 KSY131098:KSY131103 LCU131098:LCU131103 LMQ131098:LMQ131103 LWM131098:LWM131103 MGI131098:MGI131103 MQE131098:MQE131103 NAA131098:NAA131103 NJW131098:NJW131103 NTS131098:NTS131103 ODO131098:ODO131103 ONK131098:ONK131103 OXG131098:OXG131103 PHC131098:PHC131103 PQY131098:PQY131103 QAU131098:QAU131103 QKQ131098:QKQ131103 QUM131098:QUM131103 REI131098:REI131103 ROE131098:ROE131103 RYA131098:RYA131103 SHW131098:SHW131103 SRS131098:SRS131103 TBO131098:TBO131103 TLK131098:TLK131103 TVG131098:TVG131103 UFC131098:UFC131103 UOY131098:UOY131103 UYU131098:UYU131103 VIQ131098:VIQ131103 VSM131098:VSM131103 WCI131098:WCI131103 WME131098:WME131103 WWA131098:WWA131103 S196634:S196639 JO196634:JO196639 TK196634:TK196639 ADG196634:ADG196639 ANC196634:ANC196639 AWY196634:AWY196639 BGU196634:BGU196639 BQQ196634:BQQ196639 CAM196634:CAM196639 CKI196634:CKI196639 CUE196634:CUE196639 DEA196634:DEA196639 DNW196634:DNW196639 DXS196634:DXS196639 EHO196634:EHO196639 ERK196634:ERK196639 FBG196634:FBG196639 FLC196634:FLC196639 FUY196634:FUY196639 GEU196634:GEU196639 GOQ196634:GOQ196639 GYM196634:GYM196639 HII196634:HII196639 HSE196634:HSE196639 ICA196634:ICA196639 ILW196634:ILW196639 IVS196634:IVS196639 JFO196634:JFO196639 JPK196634:JPK196639 JZG196634:JZG196639 KJC196634:KJC196639 KSY196634:KSY196639 LCU196634:LCU196639 LMQ196634:LMQ196639 LWM196634:LWM196639 MGI196634:MGI196639 MQE196634:MQE196639 NAA196634:NAA196639 NJW196634:NJW196639 NTS196634:NTS196639 ODO196634:ODO196639 ONK196634:ONK196639 OXG196634:OXG196639 PHC196634:PHC196639 PQY196634:PQY196639 QAU196634:QAU196639 QKQ196634:QKQ196639 QUM196634:QUM196639 REI196634:REI196639 ROE196634:ROE196639 RYA196634:RYA196639 SHW196634:SHW196639 SRS196634:SRS196639 TBO196634:TBO196639 TLK196634:TLK196639 TVG196634:TVG196639 UFC196634:UFC196639 UOY196634:UOY196639 UYU196634:UYU196639 VIQ196634:VIQ196639 VSM196634:VSM196639 WCI196634:WCI196639 WME196634:WME196639 WWA196634:WWA196639 S262170:S262175 JO262170:JO262175 TK262170:TK262175 ADG262170:ADG262175 ANC262170:ANC262175 AWY262170:AWY262175 BGU262170:BGU262175 BQQ262170:BQQ262175 CAM262170:CAM262175 CKI262170:CKI262175 CUE262170:CUE262175 DEA262170:DEA262175 DNW262170:DNW262175 DXS262170:DXS262175 EHO262170:EHO262175 ERK262170:ERK262175 FBG262170:FBG262175 FLC262170:FLC262175 FUY262170:FUY262175 GEU262170:GEU262175 GOQ262170:GOQ262175 GYM262170:GYM262175 HII262170:HII262175 HSE262170:HSE262175 ICA262170:ICA262175 ILW262170:ILW262175 IVS262170:IVS262175 JFO262170:JFO262175 JPK262170:JPK262175 JZG262170:JZG262175 KJC262170:KJC262175 KSY262170:KSY262175 LCU262170:LCU262175 LMQ262170:LMQ262175 LWM262170:LWM262175 MGI262170:MGI262175 MQE262170:MQE262175 NAA262170:NAA262175 NJW262170:NJW262175 NTS262170:NTS262175 ODO262170:ODO262175 ONK262170:ONK262175 OXG262170:OXG262175 PHC262170:PHC262175 PQY262170:PQY262175 QAU262170:QAU262175 QKQ262170:QKQ262175 QUM262170:QUM262175 REI262170:REI262175 ROE262170:ROE262175 RYA262170:RYA262175 SHW262170:SHW262175 SRS262170:SRS262175 TBO262170:TBO262175 TLK262170:TLK262175 TVG262170:TVG262175 UFC262170:UFC262175 UOY262170:UOY262175 UYU262170:UYU262175 VIQ262170:VIQ262175 VSM262170:VSM262175 WCI262170:WCI262175 WME262170:WME262175 WWA262170:WWA262175 S327706:S327711 JO327706:JO327711 TK327706:TK327711 ADG327706:ADG327711 ANC327706:ANC327711 AWY327706:AWY327711 BGU327706:BGU327711 BQQ327706:BQQ327711 CAM327706:CAM327711 CKI327706:CKI327711 CUE327706:CUE327711 DEA327706:DEA327711 DNW327706:DNW327711 DXS327706:DXS327711 EHO327706:EHO327711 ERK327706:ERK327711 FBG327706:FBG327711 FLC327706:FLC327711 FUY327706:FUY327711 GEU327706:GEU327711 GOQ327706:GOQ327711 GYM327706:GYM327711 HII327706:HII327711 HSE327706:HSE327711 ICA327706:ICA327711 ILW327706:ILW327711 IVS327706:IVS327711 JFO327706:JFO327711 JPK327706:JPK327711 JZG327706:JZG327711 KJC327706:KJC327711 KSY327706:KSY327711 LCU327706:LCU327711 LMQ327706:LMQ327711 LWM327706:LWM327711 MGI327706:MGI327711 MQE327706:MQE327711 NAA327706:NAA327711 NJW327706:NJW327711 NTS327706:NTS327711 ODO327706:ODO327711 ONK327706:ONK327711 OXG327706:OXG327711 PHC327706:PHC327711 PQY327706:PQY327711 QAU327706:QAU327711 QKQ327706:QKQ327711 QUM327706:QUM327711 REI327706:REI327711 ROE327706:ROE327711 RYA327706:RYA327711 SHW327706:SHW327711 SRS327706:SRS327711 TBO327706:TBO327711 TLK327706:TLK327711 TVG327706:TVG327711 UFC327706:UFC327711 UOY327706:UOY327711 UYU327706:UYU327711 VIQ327706:VIQ327711 VSM327706:VSM327711 WCI327706:WCI327711 WME327706:WME327711 WWA327706:WWA327711 S393242:S393247 JO393242:JO393247 TK393242:TK393247 ADG393242:ADG393247 ANC393242:ANC393247 AWY393242:AWY393247 BGU393242:BGU393247 BQQ393242:BQQ393247 CAM393242:CAM393247 CKI393242:CKI393247 CUE393242:CUE393247 DEA393242:DEA393247 DNW393242:DNW393247 DXS393242:DXS393247 EHO393242:EHO393247 ERK393242:ERK393247 FBG393242:FBG393247 FLC393242:FLC393247 FUY393242:FUY393247 GEU393242:GEU393247 GOQ393242:GOQ393247 GYM393242:GYM393247 HII393242:HII393247 HSE393242:HSE393247 ICA393242:ICA393247 ILW393242:ILW393247 IVS393242:IVS393247 JFO393242:JFO393247 JPK393242:JPK393247 JZG393242:JZG393247 KJC393242:KJC393247 KSY393242:KSY393247 LCU393242:LCU393247 LMQ393242:LMQ393247 LWM393242:LWM393247 MGI393242:MGI393247 MQE393242:MQE393247 NAA393242:NAA393247 NJW393242:NJW393247 NTS393242:NTS393247 ODO393242:ODO393247 ONK393242:ONK393247 OXG393242:OXG393247 PHC393242:PHC393247 PQY393242:PQY393247 QAU393242:QAU393247 QKQ393242:QKQ393247 QUM393242:QUM393247 REI393242:REI393247 ROE393242:ROE393247 RYA393242:RYA393247 SHW393242:SHW393247 SRS393242:SRS393247 TBO393242:TBO393247 TLK393242:TLK393247 TVG393242:TVG393247 UFC393242:UFC393247 UOY393242:UOY393247 UYU393242:UYU393247 VIQ393242:VIQ393247 VSM393242:VSM393247 WCI393242:WCI393247 WME393242:WME393247 WWA393242:WWA393247 S458778:S458783 JO458778:JO458783 TK458778:TK458783 ADG458778:ADG458783 ANC458778:ANC458783 AWY458778:AWY458783 BGU458778:BGU458783 BQQ458778:BQQ458783 CAM458778:CAM458783 CKI458778:CKI458783 CUE458778:CUE458783 DEA458778:DEA458783 DNW458778:DNW458783 DXS458778:DXS458783 EHO458778:EHO458783 ERK458778:ERK458783 FBG458778:FBG458783 FLC458778:FLC458783 FUY458778:FUY458783 GEU458778:GEU458783 GOQ458778:GOQ458783 GYM458778:GYM458783 HII458778:HII458783 HSE458778:HSE458783 ICA458778:ICA458783 ILW458778:ILW458783 IVS458778:IVS458783 JFO458778:JFO458783 JPK458778:JPK458783 JZG458778:JZG458783 KJC458778:KJC458783 KSY458778:KSY458783 LCU458778:LCU458783 LMQ458778:LMQ458783 LWM458778:LWM458783 MGI458778:MGI458783 MQE458778:MQE458783 NAA458778:NAA458783 NJW458778:NJW458783 NTS458778:NTS458783 ODO458778:ODO458783 ONK458778:ONK458783 OXG458778:OXG458783 PHC458778:PHC458783 PQY458778:PQY458783 QAU458778:QAU458783 QKQ458778:QKQ458783 QUM458778:QUM458783 REI458778:REI458783 ROE458778:ROE458783 RYA458778:RYA458783 SHW458778:SHW458783 SRS458778:SRS458783 TBO458778:TBO458783 TLK458778:TLK458783 TVG458778:TVG458783 UFC458778:UFC458783 UOY458778:UOY458783 UYU458778:UYU458783 VIQ458778:VIQ458783 VSM458778:VSM458783 WCI458778:WCI458783 WME458778:WME458783 WWA458778:WWA458783 S524314:S524319 JO524314:JO524319 TK524314:TK524319 ADG524314:ADG524319 ANC524314:ANC524319 AWY524314:AWY524319 BGU524314:BGU524319 BQQ524314:BQQ524319 CAM524314:CAM524319 CKI524314:CKI524319 CUE524314:CUE524319 DEA524314:DEA524319 DNW524314:DNW524319 DXS524314:DXS524319 EHO524314:EHO524319 ERK524314:ERK524319 FBG524314:FBG524319 FLC524314:FLC524319 FUY524314:FUY524319 GEU524314:GEU524319 GOQ524314:GOQ524319 GYM524314:GYM524319 HII524314:HII524319 HSE524314:HSE524319 ICA524314:ICA524319 ILW524314:ILW524319 IVS524314:IVS524319 JFO524314:JFO524319 JPK524314:JPK524319 JZG524314:JZG524319 KJC524314:KJC524319 KSY524314:KSY524319 LCU524314:LCU524319 LMQ524314:LMQ524319 LWM524314:LWM524319 MGI524314:MGI524319 MQE524314:MQE524319 NAA524314:NAA524319 NJW524314:NJW524319 NTS524314:NTS524319 ODO524314:ODO524319 ONK524314:ONK524319 OXG524314:OXG524319 PHC524314:PHC524319 PQY524314:PQY524319 QAU524314:QAU524319 QKQ524314:QKQ524319 QUM524314:QUM524319 REI524314:REI524319 ROE524314:ROE524319 RYA524314:RYA524319 SHW524314:SHW524319 SRS524314:SRS524319 TBO524314:TBO524319 TLK524314:TLK524319 TVG524314:TVG524319 UFC524314:UFC524319 UOY524314:UOY524319 UYU524314:UYU524319 VIQ524314:VIQ524319 VSM524314:VSM524319 WCI524314:WCI524319 WME524314:WME524319 WWA524314:WWA524319 S589850:S589855 JO589850:JO589855 TK589850:TK589855 ADG589850:ADG589855 ANC589850:ANC589855 AWY589850:AWY589855 BGU589850:BGU589855 BQQ589850:BQQ589855 CAM589850:CAM589855 CKI589850:CKI589855 CUE589850:CUE589855 DEA589850:DEA589855 DNW589850:DNW589855 DXS589850:DXS589855 EHO589850:EHO589855 ERK589850:ERK589855 FBG589850:FBG589855 FLC589850:FLC589855 FUY589850:FUY589855 GEU589850:GEU589855 GOQ589850:GOQ589855 GYM589850:GYM589855 HII589850:HII589855 HSE589850:HSE589855 ICA589850:ICA589855 ILW589850:ILW589855 IVS589850:IVS589855 JFO589850:JFO589855 JPK589850:JPK589855 JZG589850:JZG589855 KJC589850:KJC589855 KSY589850:KSY589855 LCU589850:LCU589855 LMQ589850:LMQ589855 LWM589850:LWM589855 MGI589850:MGI589855 MQE589850:MQE589855 NAA589850:NAA589855 NJW589850:NJW589855 NTS589850:NTS589855 ODO589850:ODO589855 ONK589850:ONK589855 OXG589850:OXG589855 PHC589850:PHC589855 PQY589850:PQY589855 QAU589850:QAU589855 QKQ589850:QKQ589855 QUM589850:QUM589855 REI589850:REI589855 ROE589850:ROE589855 RYA589850:RYA589855 SHW589850:SHW589855 SRS589850:SRS589855 TBO589850:TBO589855 TLK589850:TLK589855 TVG589850:TVG589855 UFC589850:UFC589855 UOY589850:UOY589855 UYU589850:UYU589855 VIQ589850:VIQ589855 VSM589850:VSM589855 WCI589850:WCI589855 WME589850:WME589855 WWA589850:WWA589855 S655386:S655391 JO655386:JO655391 TK655386:TK655391 ADG655386:ADG655391 ANC655386:ANC655391 AWY655386:AWY655391 BGU655386:BGU655391 BQQ655386:BQQ655391 CAM655386:CAM655391 CKI655386:CKI655391 CUE655386:CUE655391 DEA655386:DEA655391 DNW655386:DNW655391 DXS655386:DXS655391 EHO655386:EHO655391 ERK655386:ERK655391 FBG655386:FBG655391 FLC655386:FLC655391 FUY655386:FUY655391 GEU655386:GEU655391 GOQ655386:GOQ655391 GYM655386:GYM655391 HII655386:HII655391 HSE655386:HSE655391 ICA655386:ICA655391 ILW655386:ILW655391 IVS655386:IVS655391 JFO655386:JFO655391 JPK655386:JPK655391 JZG655386:JZG655391 KJC655386:KJC655391 KSY655386:KSY655391 LCU655386:LCU655391 LMQ655386:LMQ655391 LWM655386:LWM655391 MGI655386:MGI655391 MQE655386:MQE655391 NAA655386:NAA655391 NJW655386:NJW655391 NTS655386:NTS655391 ODO655386:ODO655391 ONK655386:ONK655391 OXG655386:OXG655391 PHC655386:PHC655391 PQY655386:PQY655391 QAU655386:QAU655391 QKQ655386:QKQ655391 QUM655386:QUM655391 REI655386:REI655391 ROE655386:ROE655391 RYA655386:RYA655391 SHW655386:SHW655391 SRS655386:SRS655391 TBO655386:TBO655391 TLK655386:TLK655391 TVG655386:TVG655391 UFC655386:UFC655391 UOY655386:UOY655391 UYU655386:UYU655391 VIQ655386:VIQ655391 VSM655386:VSM655391 WCI655386:WCI655391 WME655386:WME655391 WWA655386:WWA655391 S720922:S720927 JO720922:JO720927 TK720922:TK720927 ADG720922:ADG720927 ANC720922:ANC720927 AWY720922:AWY720927 BGU720922:BGU720927 BQQ720922:BQQ720927 CAM720922:CAM720927 CKI720922:CKI720927 CUE720922:CUE720927 DEA720922:DEA720927 DNW720922:DNW720927 DXS720922:DXS720927 EHO720922:EHO720927 ERK720922:ERK720927 FBG720922:FBG720927 FLC720922:FLC720927 FUY720922:FUY720927 GEU720922:GEU720927 GOQ720922:GOQ720927 GYM720922:GYM720927 HII720922:HII720927 HSE720922:HSE720927 ICA720922:ICA720927 ILW720922:ILW720927 IVS720922:IVS720927 JFO720922:JFO720927 JPK720922:JPK720927 JZG720922:JZG720927 KJC720922:KJC720927 KSY720922:KSY720927 LCU720922:LCU720927 LMQ720922:LMQ720927 LWM720922:LWM720927 MGI720922:MGI720927 MQE720922:MQE720927 NAA720922:NAA720927 NJW720922:NJW720927 NTS720922:NTS720927 ODO720922:ODO720927 ONK720922:ONK720927 OXG720922:OXG720927 PHC720922:PHC720927 PQY720922:PQY720927 QAU720922:QAU720927 QKQ720922:QKQ720927 QUM720922:QUM720927 REI720922:REI720927 ROE720922:ROE720927 RYA720922:RYA720927 SHW720922:SHW720927 SRS720922:SRS720927 TBO720922:TBO720927 TLK720922:TLK720927 TVG720922:TVG720927 UFC720922:UFC720927 UOY720922:UOY720927 UYU720922:UYU720927 VIQ720922:VIQ720927 VSM720922:VSM720927 WCI720922:WCI720927 WME720922:WME720927 WWA720922:WWA720927 S786458:S786463 JO786458:JO786463 TK786458:TK786463 ADG786458:ADG786463 ANC786458:ANC786463 AWY786458:AWY786463 BGU786458:BGU786463 BQQ786458:BQQ786463 CAM786458:CAM786463 CKI786458:CKI786463 CUE786458:CUE786463 DEA786458:DEA786463 DNW786458:DNW786463 DXS786458:DXS786463 EHO786458:EHO786463 ERK786458:ERK786463 FBG786458:FBG786463 FLC786458:FLC786463 FUY786458:FUY786463 GEU786458:GEU786463 GOQ786458:GOQ786463 GYM786458:GYM786463 HII786458:HII786463 HSE786458:HSE786463 ICA786458:ICA786463 ILW786458:ILW786463 IVS786458:IVS786463 JFO786458:JFO786463 JPK786458:JPK786463 JZG786458:JZG786463 KJC786458:KJC786463 KSY786458:KSY786463 LCU786458:LCU786463 LMQ786458:LMQ786463 LWM786458:LWM786463 MGI786458:MGI786463 MQE786458:MQE786463 NAA786458:NAA786463 NJW786458:NJW786463 NTS786458:NTS786463 ODO786458:ODO786463 ONK786458:ONK786463 OXG786458:OXG786463 PHC786458:PHC786463 PQY786458:PQY786463 QAU786458:QAU786463 QKQ786458:QKQ786463 QUM786458:QUM786463 REI786458:REI786463 ROE786458:ROE786463 RYA786458:RYA786463 SHW786458:SHW786463 SRS786458:SRS786463 TBO786458:TBO786463 TLK786458:TLK786463 TVG786458:TVG786463 UFC786458:UFC786463 UOY786458:UOY786463 UYU786458:UYU786463 VIQ786458:VIQ786463 VSM786458:VSM786463 WCI786458:WCI786463 WME786458:WME786463 WWA786458:WWA786463 S851994:S851999 JO851994:JO851999 TK851994:TK851999 ADG851994:ADG851999 ANC851994:ANC851999 AWY851994:AWY851999 BGU851994:BGU851999 BQQ851994:BQQ851999 CAM851994:CAM851999 CKI851994:CKI851999 CUE851994:CUE851999 DEA851994:DEA851999 DNW851994:DNW851999 DXS851994:DXS851999 EHO851994:EHO851999 ERK851994:ERK851999 FBG851994:FBG851999 FLC851994:FLC851999 FUY851994:FUY851999 GEU851994:GEU851999 GOQ851994:GOQ851999 GYM851994:GYM851999 HII851994:HII851999 HSE851994:HSE851999 ICA851994:ICA851999 ILW851994:ILW851999 IVS851994:IVS851999 JFO851994:JFO851999 JPK851994:JPK851999 JZG851994:JZG851999 KJC851994:KJC851999 KSY851994:KSY851999 LCU851994:LCU851999 LMQ851994:LMQ851999 LWM851994:LWM851999 MGI851994:MGI851999 MQE851994:MQE851999 NAA851994:NAA851999 NJW851994:NJW851999 NTS851994:NTS851999 ODO851994:ODO851999 ONK851994:ONK851999 OXG851994:OXG851999 PHC851994:PHC851999 PQY851994:PQY851999 QAU851994:QAU851999 QKQ851994:QKQ851999 QUM851994:QUM851999 REI851994:REI851999 ROE851994:ROE851999 RYA851994:RYA851999 SHW851994:SHW851999 SRS851994:SRS851999 TBO851994:TBO851999 TLK851994:TLK851999 TVG851994:TVG851999 UFC851994:UFC851999 UOY851994:UOY851999 UYU851994:UYU851999 VIQ851994:VIQ851999 VSM851994:VSM851999 WCI851994:WCI851999 WME851994:WME851999 WWA851994:WWA851999 S917530:S917535 JO917530:JO917535 TK917530:TK917535 ADG917530:ADG917535 ANC917530:ANC917535 AWY917530:AWY917535 BGU917530:BGU917535 BQQ917530:BQQ917535 CAM917530:CAM917535 CKI917530:CKI917535 CUE917530:CUE917535 DEA917530:DEA917535 DNW917530:DNW917535 DXS917530:DXS917535 EHO917530:EHO917535 ERK917530:ERK917535 FBG917530:FBG917535 FLC917530:FLC917535 FUY917530:FUY917535 GEU917530:GEU917535 GOQ917530:GOQ917535 GYM917530:GYM917535 HII917530:HII917535 HSE917530:HSE917535 ICA917530:ICA917535 ILW917530:ILW917535 IVS917530:IVS917535 JFO917530:JFO917535 JPK917530:JPK917535 JZG917530:JZG917535 KJC917530:KJC917535 KSY917530:KSY917535 LCU917530:LCU917535 LMQ917530:LMQ917535 LWM917530:LWM917535 MGI917530:MGI917535 MQE917530:MQE917535 NAA917530:NAA917535 NJW917530:NJW917535 NTS917530:NTS917535 ODO917530:ODO917535 ONK917530:ONK917535 OXG917530:OXG917535 PHC917530:PHC917535 PQY917530:PQY917535 QAU917530:QAU917535 QKQ917530:QKQ917535 QUM917530:QUM917535 REI917530:REI917535 ROE917530:ROE917535 RYA917530:RYA917535 SHW917530:SHW917535 SRS917530:SRS917535 TBO917530:TBO917535 TLK917530:TLK917535 TVG917530:TVG917535 UFC917530:UFC917535 UOY917530:UOY917535 UYU917530:UYU917535 VIQ917530:VIQ917535 VSM917530:VSM917535 WCI917530:WCI917535 WME917530:WME917535 WWA917530:WWA917535 S983066:S983071 JO983066:JO983071 TK983066:TK983071 ADG983066:ADG983071 ANC983066:ANC983071 AWY983066:AWY983071 BGU983066:BGU983071 BQQ983066:BQQ983071 CAM983066:CAM983071 CKI983066:CKI983071 CUE983066:CUE983071 DEA983066:DEA983071 DNW983066:DNW983071 DXS983066:DXS983071 EHO983066:EHO983071 ERK983066:ERK983071 FBG983066:FBG983071 FLC983066:FLC983071 FUY983066:FUY983071 GEU983066:GEU983071 GOQ983066:GOQ983071 GYM983066:GYM983071 HII983066:HII983071 HSE983066:HSE983071 ICA983066:ICA983071 ILW983066:ILW983071 IVS983066:IVS983071 JFO983066:JFO983071 JPK983066:JPK983071 JZG983066:JZG983071 KJC983066:KJC983071 KSY983066:KSY983071 LCU983066:LCU983071 LMQ983066:LMQ983071 LWM983066:LWM983071 MGI983066:MGI983071 MQE983066:MQE983071 NAA983066:NAA983071 NJW983066:NJW983071 NTS983066:NTS983071 ODO983066:ODO983071 ONK983066:ONK983071 OXG983066:OXG983071 PHC983066:PHC983071 PQY983066:PQY983071 QAU983066:QAU983071 QKQ983066:QKQ983071 QUM983066:QUM983071 REI983066:REI983071 ROE983066:ROE983071 RYA983066:RYA983071 SHW983066:SHW983071 SRS983066:SRS983071 TBO983066:TBO983071 TLK983066:TLK983071 TVG983066:TVG983071 UFC983066:UFC983071 UOY983066:UOY983071 UYU983066:UYU983071 VIQ983066:VIQ983071 VSM983066:VSM983071 WCI983066:WCI983071 WME983066:WME983071 WWA983066:WWA983071" xr:uid="{A71AAB5D-7DFD-4D43-AAD7-B63FE701F31E}">
      <formula1>0</formula1>
      <formula2>1</formula2>
    </dataValidation>
    <dataValidation type="decimal" allowBlank="1" showErrorMessage="1" errorTitle="Erro de valores" error="Digite um valor maior do que 0." sqref="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S65488 JO65488 TK65488 ADG65488 ANC65488 AWY65488 BGU65488 BQQ65488 CAM65488 CKI65488 CUE65488 DEA65488 DNW65488 DXS65488 EHO65488 ERK65488 FBG65488 FLC65488 FUY65488 GEU65488 GOQ65488 GYM65488 HII65488 HSE65488 ICA65488 ILW65488 IVS65488 JFO65488 JPK65488 JZG65488 KJC65488 KSY65488 LCU65488 LMQ65488 LWM65488 MGI65488 MQE65488 NAA65488 NJW65488 NTS65488 ODO65488 ONK65488 OXG65488 PHC65488 PQY65488 QAU65488 QKQ65488 QUM65488 REI65488 ROE65488 RYA65488 SHW65488 SRS65488 TBO65488 TLK65488 TVG65488 UFC65488 UOY65488 UYU65488 VIQ65488 VSM65488 WCI65488 WME65488 WWA65488 S131024 JO131024 TK131024 ADG131024 ANC131024 AWY131024 BGU131024 BQQ131024 CAM131024 CKI131024 CUE131024 DEA131024 DNW131024 DXS131024 EHO131024 ERK131024 FBG131024 FLC131024 FUY131024 GEU131024 GOQ131024 GYM131024 HII131024 HSE131024 ICA131024 ILW131024 IVS131024 JFO131024 JPK131024 JZG131024 KJC131024 KSY131024 LCU131024 LMQ131024 LWM131024 MGI131024 MQE131024 NAA131024 NJW131024 NTS131024 ODO131024 ONK131024 OXG131024 PHC131024 PQY131024 QAU131024 QKQ131024 QUM131024 REI131024 ROE131024 RYA131024 SHW131024 SRS131024 TBO131024 TLK131024 TVG131024 UFC131024 UOY131024 UYU131024 VIQ131024 VSM131024 WCI131024 WME131024 WWA131024 S196560 JO196560 TK196560 ADG196560 ANC196560 AWY196560 BGU196560 BQQ196560 CAM196560 CKI196560 CUE196560 DEA196560 DNW196560 DXS196560 EHO196560 ERK196560 FBG196560 FLC196560 FUY196560 GEU196560 GOQ196560 GYM196560 HII196560 HSE196560 ICA196560 ILW196560 IVS196560 JFO196560 JPK196560 JZG196560 KJC196560 KSY196560 LCU196560 LMQ196560 LWM196560 MGI196560 MQE196560 NAA196560 NJW196560 NTS196560 ODO196560 ONK196560 OXG196560 PHC196560 PQY196560 QAU196560 QKQ196560 QUM196560 REI196560 ROE196560 RYA196560 SHW196560 SRS196560 TBO196560 TLK196560 TVG196560 UFC196560 UOY196560 UYU196560 VIQ196560 VSM196560 WCI196560 WME196560 WWA196560 S262096 JO262096 TK262096 ADG262096 ANC262096 AWY262096 BGU262096 BQQ262096 CAM262096 CKI262096 CUE262096 DEA262096 DNW262096 DXS262096 EHO262096 ERK262096 FBG262096 FLC262096 FUY262096 GEU262096 GOQ262096 GYM262096 HII262096 HSE262096 ICA262096 ILW262096 IVS262096 JFO262096 JPK262096 JZG262096 KJC262096 KSY262096 LCU262096 LMQ262096 LWM262096 MGI262096 MQE262096 NAA262096 NJW262096 NTS262096 ODO262096 ONK262096 OXG262096 PHC262096 PQY262096 QAU262096 QKQ262096 QUM262096 REI262096 ROE262096 RYA262096 SHW262096 SRS262096 TBO262096 TLK262096 TVG262096 UFC262096 UOY262096 UYU262096 VIQ262096 VSM262096 WCI262096 WME262096 WWA262096 S327632 JO327632 TK327632 ADG327632 ANC327632 AWY327632 BGU327632 BQQ327632 CAM327632 CKI327632 CUE327632 DEA327632 DNW327632 DXS327632 EHO327632 ERK327632 FBG327632 FLC327632 FUY327632 GEU327632 GOQ327632 GYM327632 HII327632 HSE327632 ICA327632 ILW327632 IVS327632 JFO327632 JPK327632 JZG327632 KJC327632 KSY327632 LCU327632 LMQ327632 LWM327632 MGI327632 MQE327632 NAA327632 NJW327632 NTS327632 ODO327632 ONK327632 OXG327632 PHC327632 PQY327632 QAU327632 QKQ327632 QUM327632 REI327632 ROE327632 RYA327632 SHW327632 SRS327632 TBO327632 TLK327632 TVG327632 UFC327632 UOY327632 UYU327632 VIQ327632 VSM327632 WCI327632 WME327632 WWA327632 S393168 JO393168 TK393168 ADG393168 ANC393168 AWY393168 BGU393168 BQQ393168 CAM393168 CKI393168 CUE393168 DEA393168 DNW393168 DXS393168 EHO393168 ERK393168 FBG393168 FLC393168 FUY393168 GEU393168 GOQ393168 GYM393168 HII393168 HSE393168 ICA393168 ILW393168 IVS393168 JFO393168 JPK393168 JZG393168 KJC393168 KSY393168 LCU393168 LMQ393168 LWM393168 MGI393168 MQE393168 NAA393168 NJW393168 NTS393168 ODO393168 ONK393168 OXG393168 PHC393168 PQY393168 QAU393168 QKQ393168 QUM393168 REI393168 ROE393168 RYA393168 SHW393168 SRS393168 TBO393168 TLK393168 TVG393168 UFC393168 UOY393168 UYU393168 VIQ393168 VSM393168 WCI393168 WME393168 WWA393168 S458704 JO458704 TK458704 ADG458704 ANC458704 AWY458704 BGU458704 BQQ458704 CAM458704 CKI458704 CUE458704 DEA458704 DNW458704 DXS458704 EHO458704 ERK458704 FBG458704 FLC458704 FUY458704 GEU458704 GOQ458704 GYM458704 HII458704 HSE458704 ICA458704 ILW458704 IVS458704 JFO458704 JPK458704 JZG458704 KJC458704 KSY458704 LCU458704 LMQ458704 LWM458704 MGI458704 MQE458704 NAA458704 NJW458704 NTS458704 ODO458704 ONK458704 OXG458704 PHC458704 PQY458704 QAU458704 QKQ458704 QUM458704 REI458704 ROE458704 RYA458704 SHW458704 SRS458704 TBO458704 TLK458704 TVG458704 UFC458704 UOY458704 UYU458704 VIQ458704 VSM458704 WCI458704 WME458704 WWA458704 S524240 JO524240 TK524240 ADG524240 ANC524240 AWY524240 BGU524240 BQQ524240 CAM524240 CKI524240 CUE524240 DEA524240 DNW524240 DXS524240 EHO524240 ERK524240 FBG524240 FLC524240 FUY524240 GEU524240 GOQ524240 GYM524240 HII524240 HSE524240 ICA524240 ILW524240 IVS524240 JFO524240 JPK524240 JZG524240 KJC524240 KSY524240 LCU524240 LMQ524240 LWM524240 MGI524240 MQE524240 NAA524240 NJW524240 NTS524240 ODO524240 ONK524240 OXG524240 PHC524240 PQY524240 QAU524240 QKQ524240 QUM524240 REI524240 ROE524240 RYA524240 SHW524240 SRS524240 TBO524240 TLK524240 TVG524240 UFC524240 UOY524240 UYU524240 VIQ524240 VSM524240 WCI524240 WME524240 WWA524240 S589776 JO589776 TK589776 ADG589776 ANC589776 AWY589776 BGU589776 BQQ589776 CAM589776 CKI589776 CUE589776 DEA589776 DNW589776 DXS589776 EHO589776 ERK589776 FBG589776 FLC589776 FUY589776 GEU589776 GOQ589776 GYM589776 HII589776 HSE589776 ICA589776 ILW589776 IVS589776 JFO589776 JPK589776 JZG589776 KJC589776 KSY589776 LCU589776 LMQ589776 LWM589776 MGI589776 MQE589776 NAA589776 NJW589776 NTS589776 ODO589776 ONK589776 OXG589776 PHC589776 PQY589776 QAU589776 QKQ589776 QUM589776 REI589776 ROE589776 RYA589776 SHW589776 SRS589776 TBO589776 TLK589776 TVG589776 UFC589776 UOY589776 UYU589776 VIQ589776 VSM589776 WCI589776 WME589776 WWA589776 S655312 JO655312 TK655312 ADG655312 ANC655312 AWY655312 BGU655312 BQQ655312 CAM655312 CKI655312 CUE655312 DEA655312 DNW655312 DXS655312 EHO655312 ERK655312 FBG655312 FLC655312 FUY655312 GEU655312 GOQ655312 GYM655312 HII655312 HSE655312 ICA655312 ILW655312 IVS655312 JFO655312 JPK655312 JZG655312 KJC655312 KSY655312 LCU655312 LMQ655312 LWM655312 MGI655312 MQE655312 NAA655312 NJW655312 NTS655312 ODO655312 ONK655312 OXG655312 PHC655312 PQY655312 QAU655312 QKQ655312 QUM655312 REI655312 ROE655312 RYA655312 SHW655312 SRS655312 TBO655312 TLK655312 TVG655312 UFC655312 UOY655312 UYU655312 VIQ655312 VSM655312 WCI655312 WME655312 WWA655312 S720848 JO720848 TK720848 ADG720848 ANC720848 AWY720848 BGU720848 BQQ720848 CAM720848 CKI720848 CUE720848 DEA720848 DNW720848 DXS720848 EHO720848 ERK720848 FBG720848 FLC720848 FUY720848 GEU720848 GOQ720848 GYM720848 HII720848 HSE720848 ICA720848 ILW720848 IVS720848 JFO720848 JPK720848 JZG720848 KJC720848 KSY720848 LCU720848 LMQ720848 LWM720848 MGI720848 MQE720848 NAA720848 NJW720848 NTS720848 ODO720848 ONK720848 OXG720848 PHC720848 PQY720848 QAU720848 QKQ720848 QUM720848 REI720848 ROE720848 RYA720848 SHW720848 SRS720848 TBO720848 TLK720848 TVG720848 UFC720848 UOY720848 UYU720848 VIQ720848 VSM720848 WCI720848 WME720848 WWA720848 S786384 JO786384 TK786384 ADG786384 ANC786384 AWY786384 BGU786384 BQQ786384 CAM786384 CKI786384 CUE786384 DEA786384 DNW786384 DXS786384 EHO786384 ERK786384 FBG786384 FLC786384 FUY786384 GEU786384 GOQ786384 GYM786384 HII786384 HSE786384 ICA786384 ILW786384 IVS786384 JFO786384 JPK786384 JZG786384 KJC786384 KSY786384 LCU786384 LMQ786384 LWM786384 MGI786384 MQE786384 NAA786384 NJW786384 NTS786384 ODO786384 ONK786384 OXG786384 PHC786384 PQY786384 QAU786384 QKQ786384 QUM786384 REI786384 ROE786384 RYA786384 SHW786384 SRS786384 TBO786384 TLK786384 TVG786384 UFC786384 UOY786384 UYU786384 VIQ786384 VSM786384 WCI786384 WME786384 WWA786384 S851920 JO851920 TK851920 ADG851920 ANC851920 AWY851920 BGU851920 BQQ851920 CAM851920 CKI851920 CUE851920 DEA851920 DNW851920 DXS851920 EHO851920 ERK851920 FBG851920 FLC851920 FUY851920 GEU851920 GOQ851920 GYM851920 HII851920 HSE851920 ICA851920 ILW851920 IVS851920 JFO851920 JPK851920 JZG851920 KJC851920 KSY851920 LCU851920 LMQ851920 LWM851920 MGI851920 MQE851920 NAA851920 NJW851920 NTS851920 ODO851920 ONK851920 OXG851920 PHC851920 PQY851920 QAU851920 QKQ851920 QUM851920 REI851920 ROE851920 RYA851920 SHW851920 SRS851920 TBO851920 TLK851920 TVG851920 UFC851920 UOY851920 UYU851920 VIQ851920 VSM851920 WCI851920 WME851920 WWA851920 S917456 JO917456 TK917456 ADG917456 ANC917456 AWY917456 BGU917456 BQQ917456 CAM917456 CKI917456 CUE917456 DEA917456 DNW917456 DXS917456 EHO917456 ERK917456 FBG917456 FLC917456 FUY917456 GEU917456 GOQ917456 GYM917456 HII917456 HSE917456 ICA917456 ILW917456 IVS917456 JFO917456 JPK917456 JZG917456 KJC917456 KSY917456 LCU917456 LMQ917456 LWM917456 MGI917456 MQE917456 NAA917456 NJW917456 NTS917456 ODO917456 ONK917456 OXG917456 PHC917456 PQY917456 QAU917456 QKQ917456 QUM917456 REI917456 ROE917456 RYA917456 SHW917456 SRS917456 TBO917456 TLK917456 TVG917456 UFC917456 UOY917456 UYU917456 VIQ917456 VSM917456 WCI917456 WME917456 WWA917456 S982992 JO982992 TK982992 ADG982992 ANC982992 AWY982992 BGU982992 BQQ982992 CAM982992 CKI982992 CUE982992 DEA982992 DNW982992 DXS982992 EHO982992 ERK982992 FBG982992 FLC982992 FUY982992 GEU982992 GOQ982992 GYM982992 HII982992 HSE982992 ICA982992 ILW982992 IVS982992 JFO982992 JPK982992 JZG982992 KJC982992 KSY982992 LCU982992 LMQ982992 LWM982992 MGI982992 MQE982992 NAA982992 NJW982992 NTS982992 ODO982992 ONK982992 OXG982992 PHC982992 PQY982992 QAU982992 QKQ982992 QUM982992 REI982992 ROE982992 RYA982992 SHW982992 SRS982992 TBO982992 TLK982992 TVG982992 UFC982992 UOY982992 UYU982992 VIQ982992 VSM982992 WCI982992 WME982992 WWA982992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6BFD1EE4-9C07-4585-9189-62B496F810D3}">
      <formula1>0</formula1>
      <formula2>1</formula2>
    </dataValidation>
    <dataValidation operator="greaterThanOrEqual" allowBlank="1" showErrorMessage="1" errorTitle="Erro de valores" error="Digite um valor igual a 0% ou 2%." sqref="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489 JO65489 TK65489 ADG65489 ANC65489 AWY65489 BGU65489 BQQ65489 CAM65489 CKI65489 CUE65489 DEA65489 DNW65489 DXS65489 EHO65489 ERK65489 FBG65489 FLC65489 FUY65489 GEU65489 GOQ65489 GYM65489 HII65489 HSE65489 ICA65489 ILW65489 IVS65489 JFO65489 JPK65489 JZG65489 KJC65489 KSY65489 LCU65489 LMQ65489 LWM65489 MGI65489 MQE65489 NAA65489 NJW65489 NTS65489 ODO65489 ONK65489 OXG65489 PHC65489 PQY65489 QAU65489 QKQ65489 QUM65489 REI65489 ROE65489 RYA65489 SHW65489 SRS65489 TBO65489 TLK65489 TVG65489 UFC65489 UOY65489 UYU65489 VIQ65489 VSM65489 WCI65489 WME65489 WWA65489 S131025 JO131025 TK131025 ADG131025 ANC131025 AWY131025 BGU131025 BQQ131025 CAM131025 CKI131025 CUE131025 DEA131025 DNW131025 DXS131025 EHO131025 ERK131025 FBG131025 FLC131025 FUY131025 GEU131025 GOQ131025 GYM131025 HII131025 HSE131025 ICA131025 ILW131025 IVS131025 JFO131025 JPK131025 JZG131025 KJC131025 KSY131025 LCU131025 LMQ131025 LWM131025 MGI131025 MQE131025 NAA131025 NJW131025 NTS131025 ODO131025 ONK131025 OXG131025 PHC131025 PQY131025 QAU131025 QKQ131025 QUM131025 REI131025 ROE131025 RYA131025 SHW131025 SRS131025 TBO131025 TLK131025 TVG131025 UFC131025 UOY131025 UYU131025 VIQ131025 VSM131025 WCI131025 WME131025 WWA131025 S196561 JO196561 TK196561 ADG196561 ANC196561 AWY196561 BGU196561 BQQ196561 CAM196561 CKI196561 CUE196561 DEA196561 DNW196561 DXS196561 EHO196561 ERK196561 FBG196561 FLC196561 FUY196561 GEU196561 GOQ196561 GYM196561 HII196561 HSE196561 ICA196561 ILW196561 IVS196561 JFO196561 JPK196561 JZG196561 KJC196561 KSY196561 LCU196561 LMQ196561 LWM196561 MGI196561 MQE196561 NAA196561 NJW196561 NTS196561 ODO196561 ONK196561 OXG196561 PHC196561 PQY196561 QAU196561 QKQ196561 QUM196561 REI196561 ROE196561 RYA196561 SHW196561 SRS196561 TBO196561 TLK196561 TVG196561 UFC196561 UOY196561 UYU196561 VIQ196561 VSM196561 WCI196561 WME196561 WWA196561 S262097 JO262097 TK262097 ADG262097 ANC262097 AWY262097 BGU262097 BQQ262097 CAM262097 CKI262097 CUE262097 DEA262097 DNW262097 DXS262097 EHO262097 ERK262097 FBG262097 FLC262097 FUY262097 GEU262097 GOQ262097 GYM262097 HII262097 HSE262097 ICA262097 ILW262097 IVS262097 JFO262097 JPK262097 JZG262097 KJC262097 KSY262097 LCU262097 LMQ262097 LWM262097 MGI262097 MQE262097 NAA262097 NJW262097 NTS262097 ODO262097 ONK262097 OXG262097 PHC262097 PQY262097 QAU262097 QKQ262097 QUM262097 REI262097 ROE262097 RYA262097 SHW262097 SRS262097 TBO262097 TLK262097 TVG262097 UFC262097 UOY262097 UYU262097 VIQ262097 VSM262097 WCI262097 WME262097 WWA262097 S327633 JO327633 TK327633 ADG327633 ANC327633 AWY327633 BGU327633 BQQ327633 CAM327633 CKI327633 CUE327633 DEA327633 DNW327633 DXS327633 EHO327633 ERK327633 FBG327633 FLC327633 FUY327633 GEU327633 GOQ327633 GYM327633 HII327633 HSE327633 ICA327633 ILW327633 IVS327633 JFO327633 JPK327633 JZG327633 KJC327633 KSY327633 LCU327633 LMQ327633 LWM327633 MGI327633 MQE327633 NAA327633 NJW327633 NTS327633 ODO327633 ONK327633 OXG327633 PHC327633 PQY327633 QAU327633 QKQ327633 QUM327633 REI327633 ROE327633 RYA327633 SHW327633 SRS327633 TBO327633 TLK327633 TVG327633 UFC327633 UOY327633 UYU327633 VIQ327633 VSM327633 WCI327633 WME327633 WWA327633 S393169 JO393169 TK393169 ADG393169 ANC393169 AWY393169 BGU393169 BQQ393169 CAM393169 CKI393169 CUE393169 DEA393169 DNW393169 DXS393169 EHO393169 ERK393169 FBG393169 FLC393169 FUY393169 GEU393169 GOQ393169 GYM393169 HII393169 HSE393169 ICA393169 ILW393169 IVS393169 JFO393169 JPK393169 JZG393169 KJC393169 KSY393169 LCU393169 LMQ393169 LWM393169 MGI393169 MQE393169 NAA393169 NJW393169 NTS393169 ODO393169 ONK393169 OXG393169 PHC393169 PQY393169 QAU393169 QKQ393169 QUM393169 REI393169 ROE393169 RYA393169 SHW393169 SRS393169 TBO393169 TLK393169 TVG393169 UFC393169 UOY393169 UYU393169 VIQ393169 VSM393169 WCI393169 WME393169 WWA393169 S458705 JO458705 TK458705 ADG458705 ANC458705 AWY458705 BGU458705 BQQ458705 CAM458705 CKI458705 CUE458705 DEA458705 DNW458705 DXS458705 EHO458705 ERK458705 FBG458705 FLC458705 FUY458705 GEU458705 GOQ458705 GYM458705 HII458705 HSE458705 ICA458705 ILW458705 IVS458705 JFO458705 JPK458705 JZG458705 KJC458705 KSY458705 LCU458705 LMQ458705 LWM458705 MGI458705 MQE458705 NAA458705 NJW458705 NTS458705 ODO458705 ONK458705 OXG458705 PHC458705 PQY458705 QAU458705 QKQ458705 QUM458705 REI458705 ROE458705 RYA458705 SHW458705 SRS458705 TBO458705 TLK458705 TVG458705 UFC458705 UOY458705 UYU458705 VIQ458705 VSM458705 WCI458705 WME458705 WWA458705 S524241 JO524241 TK524241 ADG524241 ANC524241 AWY524241 BGU524241 BQQ524241 CAM524241 CKI524241 CUE524241 DEA524241 DNW524241 DXS524241 EHO524241 ERK524241 FBG524241 FLC524241 FUY524241 GEU524241 GOQ524241 GYM524241 HII524241 HSE524241 ICA524241 ILW524241 IVS524241 JFO524241 JPK524241 JZG524241 KJC524241 KSY524241 LCU524241 LMQ524241 LWM524241 MGI524241 MQE524241 NAA524241 NJW524241 NTS524241 ODO524241 ONK524241 OXG524241 PHC524241 PQY524241 QAU524241 QKQ524241 QUM524241 REI524241 ROE524241 RYA524241 SHW524241 SRS524241 TBO524241 TLK524241 TVG524241 UFC524241 UOY524241 UYU524241 VIQ524241 VSM524241 WCI524241 WME524241 WWA524241 S589777 JO589777 TK589777 ADG589777 ANC589777 AWY589777 BGU589777 BQQ589777 CAM589777 CKI589777 CUE589777 DEA589777 DNW589777 DXS589777 EHO589777 ERK589777 FBG589777 FLC589777 FUY589777 GEU589777 GOQ589777 GYM589777 HII589777 HSE589777 ICA589777 ILW589777 IVS589777 JFO589777 JPK589777 JZG589777 KJC589777 KSY589777 LCU589777 LMQ589777 LWM589777 MGI589777 MQE589777 NAA589777 NJW589777 NTS589777 ODO589777 ONK589777 OXG589777 PHC589777 PQY589777 QAU589777 QKQ589777 QUM589777 REI589777 ROE589777 RYA589777 SHW589777 SRS589777 TBO589777 TLK589777 TVG589777 UFC589777 UOY589777 UYU589777 VIQ589777 VSM589777 WCI589777 WME589777 WWA589777 S655313 JO655313 TK655313 ADG655313 ANC655313 AWY655313 BGU655313 BQQ655313 CAM655313 CKI655313 CUE655313 DEA655313 DNW655313 DXS655313 EHO655313 ERK655313 FBG655313 FLC655313 FUY655313 GEU655313 GOQ655313 GYM655313 HII655313 HSE655313 ICA655313 ILW655313 IVS655313 JFO655313 JPK655313 JZG655313 KJC655313 KSY655313 LCU655313 LMQ655313 LWM655313 MGI655313 MQE655313 NAA655313 NJW655313 NTS655313 ODO655313 ONK655313 OXG655313 PHC655313 PQY655313 QAU655313 QKQ655313 QUM655313 REI655313 ROE655313 RYA655313 SHW655313 SRS655313 TBO655313 TLK655313 TVG655313 UFC655313 UOY655313 UYU655313 VIQ655313 VSM655313 WCI655313 WME655313 WWA655313 S720849 JO720849 TK720849 ADG720849 ANC720849 AWY720849 BGU720849 BQQ720849 CAM720849 CKI720849 CUE720849 DEA720849 DNW720849 DXS720849 EHO720849 ERK720849 FBG720849 FLC720849 FUY720849 GEU720849 GOQ720849 GYM720849 HII720849 HSE720849 ICA720849 ILW720849 IVS720849 JFO720849 JPK720849 JZG720849 KJC720849 KSY720849 LCU720849 LMQ720849 LWM720849 MGI720849 MQE720849 NAA720849 NJW720849 NTS720849 ODO720849 ONK720849 OXG720849 PHC720849 PQY720849 QAU720849 QKQ720849 QUM720849 REI720849 ROE720849 RYA720849 SHW720849 SRS720849 TBO720849 TLK720849 TVG720849 UFC720849 UOY720849 UYU720849 VIQ720849 VSM720849 WCI720849 WME720849 WWA720849 S786385 JO786385 TK786385 ADG786385 ANC786385 AWY786385 BGU786385 BQQ786385 CAM786385 CKI786385 CUE786385 DEA786385 DNW786385 DXS786385 EHO786385 ERK786385 FBG786385 FLC786385 FUY786385 GEU786385 GOQ786385 GYM786385 HII786385 HSE786385 ICA786385 ILW786385 IVS786385 JFO786385 JPK786385 JZG786385 KJC786385 KSY786385 LCU786385 LMQ786385 LWM786385 MGI786385 MQE786385 NAA786385 NJW786385 NTS786385 ODO786385 ONK786385 OXG786385 PHC786385 PQY786385 QAU786385 QKQ786385 QUM786385 REI786385 ROE786385 RYA786385 SHW786385 SRS786385 TBO786385 TLK786385 TVG786385 UFC786385 UOY786385 UYU786385 VIQ786385 VSM786385 WCI786385 WME786385 WWA786385 S851921 JO851921 TK851921 ADG851921 ANC851921 AWY851921 BGU851921 BQQ851921 CAM851921 CKI851921 CUE851921 DEA851921 DNW851921 DXS851921 EHO851921 ERK851921 FBG851921 FLC851921 FUY851921 GEU851921 GOQ851921 GYM851921 HII851921 HSE851921 ICA851921 ILW851921 IVS851921 JFO851921 JPK851921 JZG851921 KJC851921 KSY851921 LCU851921 LMQ851921 LWM851921 MGI851921 MQE851921 NAA851921 NJW851921 NTS851921 ODO851921 ONK851921 OXG851921 PHC851921 PQY851921 QAU851921 QKQ851921 QUM851921 REI851921 ROE851921 RYA851921 SHW851921 SRS851921 TBO851921 TLK851921 TVG851921 UFC851921 UOY851921 UYU851921 VIQ851921 VSM851921 WCI851921 WME851921 WWA851921 S917457 JO917457 TK917457 ADG917457 ANC917457 AWY917457 BGU917457 BQQ917457 CAM917457 CKI917457 CUE917457 DEA917457 DNW917457 DXS917457 EHO917457 ERK917457 FBG917457 FLC917457 FUY917457 GEU917457 GOQ917457 GYM917457 HII917457 HSE917457 ICA917457 ILW917457 IVS917457 JFO917457 JPK917457 JZG917457 KJC917457 KSY917457 LCU917457 LMQ917457 LWM917457 MGI917457 MQE917457 NAA917457 NJW917457 NTS917457 ODO917457 ONK917457 OXG917457 PHC917457 PQY917457 QAU917457 QKQ917457 QUM917457 REI917457 ROE917457 RYA917457 SHW917457 SRS917457 TBO917457 TLK917457 TVG917457 UFC917457 UOY917457 UYU917457 VIQ917457 VSM917457 WCI917457 WME917457 WWA917457 S982993 JO982993 TK982993 ADG982993 ANC982993 AWY982993 BGU982993 BQQ982993 CAM982993 CKI982993 CUE982993 DEA982993 DNW982993 DXS982993 EHO982993 ERK982993 FBG982993 FLC982993 FUY982993 GEU982993 GOQ982993 GYM982993 HII982993 HSE982993 ICA982993 ILW982993 IVS982993 JFO982993 JPK982993 JZG982993 KJC982993 KSY982993 LCU982993 LMQ982993 LWM982993 MGI982993 MQE982993 NAA982993 NJW982993 NTS982993 ODO982993 ONK982993 OXG982993 PHC982993 PQY982993 QAU982993 QKQ982993 QUM982993 REI982993 ROE982993 RYA982993 SHW982993 SRS982993 TBO982993 TLK982993 TVG982993 UFC982993 UOY982993 UYU982993 VIQ982993 VSM982993 WCI982993 WME982993 WWA982993 S65529 JO65529 TK65529 ADG65529 ANC65529 AWY65529 BGU65529 BQQ65529 CAM65529 CKI65529 CUE65529 DEA65529 DNW65529 DXS65529 EHO65529 ERK65529 FBG65529 FLC65529 FUY65529 GEU65529 GOQ65529 GYM65529 HII65529 HSE65529 ICA65529 ILW65529 IVS65529 JFO65529 JPK65529 JZG65529 KJC65529 KSY65529 LCU65529 LMQ65529 LWM65529 MGI65529 MQE65529 NAA65529 NJW65529 NTS65529 ODO65529 ONK65529 OXG65529 PHC65529 PQY65529 QAU65529 QKQ65529 QUM65529 REI65529 ROE65529 RYA65529 SHW65529 SRS65529 TBO65529 TLK65529 TVG65529 UFC65529 UOY65529 UYU65529 VIQ65529 VSM65529 WCI65529 WME65529 WWA65529 S131065 JO131065 TK131065 ADG131065 ANC131065 AWY131065 BGU131065 BQQ131065 CAM131065 CKI131065 CUE131065 DEA131065 DNW131065 DXS131065 EHO131065 ERK131065 FBG131065 FLC131065 FUY131065 GEU131065 GOQ131065 GYM131065 HII131065 HSE131065 ICA131065 ILW131065 IVS131065 JFO131065 JPK131065 JZG131065 KJC131065 KSY131065 LCU131065 LMQ131065 LWM131065 MGI131065 MQE131065 NAA131065 NJW131065 NTS131065 ODO131065 ONK131065 OXG131065 PHC131065 PQY131065 QAU131065 QKQ131065 QUM131065 REI131065 ROE131065 RYA131065 SHW131065 SRS131065 TBO131065 TLK131065 TVG131065 UFC131065 UOY131065 UYU131065 VIQ131065 VSM131065 WCI131065 WME131065 WWA131065 S196601 JO196601 TK196601 ADG196601 ANC196601 AWY196601 BGU196601 BQQ196601 CAM196601 CKI196601 CUE196601 DEA196601 DNW196601 DXS196601 EHO196601 ERK196601 FBG196601 FLC196601 FUY196601 GEU196601 GOQ196601 GYM196601 HII196601 HSE196601 ICA196601 ILW196601 IVS196601 JFO196601 JPK196601 JZG196601 KJC196601 KSY196601 LCU196601 LMQ196601 LWM196601 MGI196601 MQE196601 NAA196601 NJW196601 NTS196601 ODO196601 ONK196601 OXG196601 PHC196601 PQY196601 QAU196601 QKQ196601 QUM196601 REI196601 ROE196601 RYA196601 SHW196601 SRS196601 TBO196601 TLK196601 TVG196601 UFC196601 UOY196601 UYU196601 VIQ196601 VSM196601 WCI196601 WME196601 WWA196601 S262137 JO262137 TK262137 ADG262137 ANC262137 AWY262137 BGU262137 BQQ262137 CAM262137 CKI262137 CUE262137 DEA262137 DNW262137 DXS262137 EHO262137 ERK262137 FBG262137 FLC262137 FUY262137 GEU262137 GOQ262137 GYM262137 HII262137 HSE262137 ICA262137 ILW262137 IVS262137 JFO262137 JPK262137 JZG262137 KJC262137 KSY262137 LCU262137 LMQ262137 LWM262137 MGI262137 MQE262137 NAA262137 NJW262137 NTS262137 ODO262137 ONK262137 OXG262137 PHC262137 PQY262137 QAU262137 QKQ262137 QUM262137 REI262137 ROE262137 RYA262137 SHW262137 SRS262137 TBO262137 TLK262137 TVG262137 UFC262137 UOY262137 UYU262137 VIQ262137 VSM262137 WCI262137 WME262137 WWA262137 S327673 JO327673 TK327673 ADG327673 ANC327673 AWY327673 BGU327673 BQQ327673 CAM327673 CKI327673 CUE327673 DEA327673 DNW327673 DXS327673 EHO327673 ERK327673 FBG327673 FLC327673 FUY327673 GEU327673 GOQ327673 GYM327673 HII327673 HSE327673 ICA327673 ILW327673 IVS327673 JFO327673 JPK327673 JZG327673 KJC327673 KSY327673 LCU327673 LMQ327673 LWM327673 MGI327673 MQE327673 NAA327673 NJW327673 NTS327673 ODO327673 ONK327673 OXG327673 PHC327673 PQY327673 QAU327673 QKQ327673 QUM327673 REI327673 ROE327673 RYA327673 SHW327673 SRS327673 TBO327673 TLK327673 TVG327673 UFC327673 UOY327673 UYU327673 VIQ327673 VSM327673 WCI327673 WME327673 WWA327673 S393209 JO393209 TK393209 ADG393209 ANC393209 AWY393209 BGU393209 BQQ393209 CAM393209 CKI393209 CUE393209 DEA393209 DNW393209 DXS393209 EHO393209 ERK393209 FBG393209 FLC393209 FUY393209 GEU393209 GOQ393209 GYM393209 HII393209 HSE393209 ICA393209 ILW393209 IVS393209 JFO393209 JPK393209 JZG393209 KJC393209 KSY393209 LCU393209 LMQ393209 LWM393209 MGI393209 MQE393209 NAA393209 NJW393209 NTS393209 ODO393209 ONK393209 OXG393209 PHC393209 PQY393209 QAU393209 QKQ393209 QUM393209 REI393209 ROE393209 RYA393209 SHW393209 SRS393209 TBO393209 TLK393209 TVG393209 UFC393209 UOY393209 UYU393209 VIQ393209 VSM393209 WCI393209 WME393209 WWA393209 S458745 JO458745 TK458745 ADG458745 ANC458745 AWY458745 BGU458745 BQQ458745 CAM458745 CKI458745 CUE458745 DEA458745 DNW458745 DXS458745 EHO458745 ERK458745 FBG458745 FLC458745 FUY458745 GEU458745 GOQ458745 GYM458745 HII458745 HSE458745 ICA458745 ILW458745 IVS458745 JFO458745 JPK458745 JZG458745 KJC458745 KSY458745 LCU458745 LMQ458745 LWM458745 MGI458745 MQE458745 NAA458745 NJW458745 NTS458745 ODO458745 ONK458745 OXG458745 PHC458745 PQY458745 QAU458745 QKQ458745 QUM458745 REI458745 ROE458745 RYA458745 SHW458745 SRS458745 TBO458745 TLK458745 TVG458745 UFC458745 UOY458745 UYU458745 VIQ458745 VSM458745 WCI458745 WME458745 WWA458745 S524281 JO524281 TK524281 ADG524281 ANC524281 AWY524281 BGU524281 BQQ524281 CAM524281 CKI524281 CUE524281 DEA524281 DNW524281 DXS524281 EHO524281 ERK524281 FBG524281 FLC524281 FUY524281 GEU524281 GOQ524281 GYM524281 HII524281 HSE524281 ICA524281 ILW524281 IVS524281 JFO524281 JPK524281 JZG524281 KJC524281 KSY524281 LCU524281 LMQ524281 LWM524281 MGI524281 MQE524281 NAA524281 NJW524281 NTS524281 ODO524281 ONK524281 OXG524281 PHC524281 PQY524281 QAU524281 QKQ524281 QUM524281 REI524281 ROE524281 RYA524281 SHW524281 SRS524281 TBO524281 TLK524281 TVG524281 UFC524281 UOY524281 UYU524281 VIQ524281 VSM524281 WCI524281 WME524281 WWA524281 S589817 JO589817 TK589817 ADG589817 ANC589817 AWY589817 BGU589817 BQQ589817 CAM589817 CKI589817 CUE589817 DEA589817 DNW589817 DXS589817 EHO589817 ERK589817 FBG589817 FLC589817 FUY589817 GEU589817 GOQ589817 GYM589817 HII589817 HSE589817 ICA589817 ILW589817 IVS589817 JFO589817 JPK589817 JZG589817 KJC589817 KSY589817 LCU589817 LMQ589817 LWM589817 MGI589817 MQE589817 NAA589817 NJW589817 NTS589817 ODO589817 ONK589817 OXG589817 PHC589817 PQY589817 QAU589817 QKQ589817 QUM589817 REI589817 ROE589817 RYA589817 SHW589817 SRS589817 TBO589817 TLK589817 TVG589817 UFC589817 UOY589817 UYU589817 VIQ589817 VSM589817 WCI589817 WME589817 WWA589817 S655353 JO655353 TK655353 ADG655353 ANC655353 AWY655353 BGU655353 BQQ655353 CAM655353 CKI655353 CUE655353 DEA655353 DNW655353 DXS655353 EHO655353 ERK655353 FBG655353 FLC655353 FUY655353 GEU655353 GOQ655353 GYM655353 HII655353 HSE655353 ICA655353 ILW655353 IVS655353 JFO655353 JPK655353 JZG655353 KJC655353 KSY655353 LCU655353 LMQ655353 LWM655353 MGI655353 MQE655353 NAA655353 NJW655353 NTS655353 ODO655353 ONK655353 OXG655353 PHC655353 PQY655353 QAU655353 QKQ655353 QUM655353 REI655353 ROE655353 RYA655353 SHW655353 SRS655353 TBO655353 TLK655353 TVG655353 UFC655353 UOY655353 UYU655353 VIQ655353 VSM655353 WCI655353 WME655353 WWA655353 S720889 JO720889 TK720889 ADG720889 ANC720889 AWY720889 BGU720889 BQQ720889 CAM720889 CKI720889 CUE720889 DEA720889 DNW720889 DXS720889 EHO720889 ERK720889 FBG720889 FLC720889 FUY720889 GEU720889 GOQ720889 GYM720889 HII720889 HSE720889 ICA720889 ILW720889 IVS720889 JFO720889 JPK720889 JZG720889 KJC720889 KSY720889 LCU720889 LMQ720889 LWM720889 MGI720889 MQE720889 NAA720889 NJW720889 NTS720889 ODO720889 ONK720889 OXG720889 PHC720889 PQY720889 QAU720889 QKQ720889 QUM720889 REI720889 ROE720889 RYA720889 SHW720889 SRS720889 TBO720889 TLK720889 TVG720889 UFC720889 UOY720889 UYU720889 VIQ720889 VSM720889 WCI720889 WME720889 WWA720889 S786425 JO786425 TK786425 ADG786425 ANC786425 AWY786425 BGU786425 BQQ786425 CAM786425 CKI786425 CUE786425 DEA786425 DNW786425 DXS786425 EHO786425 ERK786425 FBG786425 FLC786425 FUY786425 GEU786425 GOQ786425 GYM786425 HII786425 HSE786425 ICA786425 ILW786425 IVS786425 JFO786425 JPK786425 JZG786425 KJC786425 KSY786425 LCU786425 LMQ786425 LWM786425 MGI786425 MQE786425 NAA786425 NJW786425 NTS786425 ODO786425 ONK786425 OXG786425 PHC786425 PQY786425 QAU786425 QKQ786425 QUM786425 REI786425 ROE786425 RYA786425 SHW786425 SRS786425 TBO786425 TLK786425 TVG786425 UFC786425 UOY786425 UYU786425 VIQ786425 VSM786425 WCI786425 WME786425 WWA786425 S851961 JO851961 TK851961 ADG851961 ANC851961 AWY851961 BGU851961 BQQ851961 CAM851961 CKI851961 CUE851961 DEA851961 DNW851961 DXS851961 EHO851961 ERK851961 FBG851961 FLC851961 FUY851961 GEU851961 GOQ851961 GYM851961 HII851961 HSE851961 ICA851961 ILW851961 IVS851961 JFO851961 JPK851961 JZG851961 KJC851961 KSY851961 LCU851961 LMQ851961 LWM851961 MGI851961 MQE851961 NAA851961 NJW851961 NTS851961 ODO851961 ONK851961 OXG851961 PHC851961 PQY851961 QAU851961 QKQ851961 QUM851961 REI851961 ROE851961 RYA851961 SHW851961 SRS851961 TBO851961 TLK851961 TVG851961 UFC851961 UOY851961 UYU851961 VIQ851961 VSM851961 WCI851961 WME851961 WWA851961 S917497 JO917497 TK917497 ADG917497 ANC917497 AWY917497 BGU917497 BQQ917497 CAM917497 CKI917497 CUE917497 DEA917497 DNW917497 DXS917497 EHO917497 ERK917497 FBG917497 FLC917497 FUY917497 GEU917497 GOQ917497 GYM917497 HII917497 HSE917497 ICA917497 ILW917497 IVS917497 JFO917497 JPK917497 JZG917497 KJC917497 KSY917497 LCU917497 LMQ917497 LWM917497 MGI917497 MQE917497 NAA917497 NJW917497 NTS917497 ODO917497 ONK917497 OXG917497 PHC917497 PQY917497 QAU917497 QKQ917497 QUM917497 REI917497 ROE917497 RYA917497 SHW917497 SRS917497 TBO917497 TLK917497 TVG917497 UFC917497 UOY917497 UYU917497 VIQ917497 VSM917497 WCI917497 WME917497 WWA917497 S983033 JO983033 TK983033 ADG983033 ANC983033 AWY983033 BGU983033 BQQ983033 CAM983033 CKI983033 CUE983033 DEA983033 DNW983033 DXS983033 EHO983033 ERK983033 FBG983033 FLC983033 FUY983033 GEU983033 GOQ983033 GYM983033 HII983033 HSE983033 ICA983033 ILW983033 IVS983033 JFO983033 JPK983033 JZG983033 KJC983033 KSY983033 LCU983033 LMQ983033 LWM983033 MGI983033 MQE983033 NAA983033 NJW983033 NTS983033 ODO983033 ONK983033 OXG983033 PHC983033 PQY983033 QAU983033 QKQ983033 QUM983033 REI983033 ROE983033 RYA983033 SHW983033 SRS983033 TBO983033 TLK983033 TVG983033 UFC983033 UOY983033 UYU983033 VIQ983033 VSM983033 WCI983033 WME983033 WWA9830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xr:uid="{C89092A1-9F8F-46AB-8E37-48C6621F33C4}">
      <formula1>0</formula1>
      <formula2>0</formula2>
    </dataValidation>
    <dataValidation type="decimal" operator="greaterThanOrEqual" allowBlank="1" showInputMessage="1" showErrorMessage="1" errorTitle="Valor não permitido" error="Digite um percentual entre 0% e 100%." promptTitle="Valores comuns:" prompt="Normalmente entre 2 e 5%." sqref="R19:S19 JN19:JO19 TJ19:TK19 ADF19:ADG19 ANB19:ANC19 AWX19:AWY19 BGT19:BGU19 BQP19:BQQ19 CAL19:CAM19 CKH19:CKI19 CUD19:CUE19 DDZ19:DEA19 DNV19:DNW19 DXR19:DXS19 EHN19:EHO19 ERJ19:ERK19 FBF19:FBG19 FLB19:FLC19 FUX19:FUY19 GET19:GEU19 GOP19:GOQ19 GYL19:GYM19 HIH19:HII19 HSD19:HSE19 IBZ19:ICA19 ILV19:ILW19 IVR19:IVS19 JFN19:JFO19 JPJ19:JPK19 JZF19:JZG19 KJB19:KJC19 KSX19:KSY19 LCT19:LCU19 LMP19:LMQ19 LWL19:LWM19 MGH19:MGI19 MQD19:MQE19 MZZ19:NAA19 NJV19:NJW19 NTR19:NTS19 ODN19:ODO19 ONJ19:ONK19 OXF19:OXG19 PHB19:PHC19 PQX19:PQY19 QAT19:QAU19 QKP19:QKQ19 QUL19:QUM19 REH19:REI19 ROD19:ROE19 RXZ19:RYA19 SHV19:SHW19 SRR19:SRS19 TBN19:TBO19 TLJ19:TLK19 TVF19:TVG19 UFB19:UFC19 UOX19:UOY19 UYT19:UYU19 VIP19:VIQ19 VSL19:VSM19 WCH19:WCI19 WMD19:WME19 WVZ19:WWA19 R65472:S65472 JN65472:JO65472 TJ65472:TK65472 ADF65472:ADG65472 ANB65472:ANC65472 AWX65472:AWY65472 BGT65472:BGU65472 BQP65472:BQQ65472 CAL65472:CAM65472 CKH65472:CKI65472 CUD65472:CUE65472 DDZ65472:DEA65472 DNV65472:DNW65472 DXR65472:DXS65472 EHN65472:EHO65472 ERJ65472:ERK65472 FBF65472:FBG65472 FLB65472:FLC65472 FUX65472:FUY65472 GET65472:GEU65472 GOP65472:GOQ65472 GYL65472:GYM65472 HIH65472:HII65472 HSD65472:HSE65472 IBZ65472:ICA65472 ILV65472:ILW65472 IVR65472:IVS65472 JFN65472:JFO65472 JPJ65472:JPK65472 JZF65472:JZG65472 KJB65472:KJC65472 KSX65472:KSY65472 LCT65472:LCU65472 LMP65472:LMQ65472 LWL65472:LWM65472 MGH65472:MGI65472 MQD65472:MQE65472 MZZ65472:NAA65472 NJV65472:NJW65472 NTR65472:NTS65472 ODN65472:ODO65472 ONJ65472:ONK65472 OXF65472:OXG65472 PHB65472:PHC65472 PQX65472:PQY65472 QAT65472:QAU65472 QKP65472:QKQ65472 QUL65472:QUM65472 REH65472:REI65472 ROD65472:ROE65472 RXZ65472:RYA65472 SHV65472:SHW65472 SRR65472:SRS65472 TBN65472:TBO65472 TLJ65472:TLK65472 TVF65472:TVG65472 UFB65472:UFC65472 UOX65472:UOY65472 UYT65472:UYU65472 VIP65472:VIQ65472 VSL65472:VSM65472 WCH65472:WCI65472 WMD65472:WME65472 WVZ65472:WWA65472 R131008:S131008 JN131008:JO131008 TJ131008:TK131008 ADF131008:ADG131008 ANB131008:ANC131008 AWX131008:AWY131008 BGT131008:BGU131008 BQP131008:BQQ131008 CAL131008:CAM131008 CKH131008:CKI131008 CUD131008:CUE131008 DDZ131008:DEA131008 DNV131008:DNW131008 DXR131008:DXS131008 EHN131008:EHO131008 ERJ131008:ERK131008 FBF131008:FBG131008 FLB131008:FLC131008 FUX131008:FUY131008 GET131008:GEU131008 GOP131008:GOQ131008 GYL131008:GYM131008 HIH131008:HII131008 HSD131008:HSE131008 IBZ131008:ICA131008 ILV131008:ILW131008 IVR131008:IVS131008 JFN131008:JFO131008 JPJ131008:JPK131008 JZF131008:JZG131008 KJB131008:KJC131008 KSX131008:KSY131008 LCT131008:LCU131008 LMP131008:LMQ131008 LWL131008:LWM131008 MGH131008:MGI131008 MQD131008:MQE131008 MZZ131008:NAA131008 NJV131008:NJW131008 NTR131008:NTS131008 ODN131008:ODO131008 ONJ131008:ONK131008 OXF131008:OXG131008 PHB131008:PHC131008 PQX131008:PQY131008 QAT131008:QAU131008 QKP131008:QKQ131008 QUL131008:QUM131008 REH131008:REI131008 ROD131008:ROE131008 RXZ131008:RYA131008 SHV131008:SHW131008 SRR131008:SRS131008 TBN131008:TBO131008 TLJ131008:TLK131008 TVF131008:TVG131008 UFB131008:UFC131008 UOX131008:UOY131008 UYT131008:UYU131008 VIP131008:VIQ131008 VSL131008:VSM131008 WCH131008:WCI131008 WMD131008:WME131008 WVZ131008:WWA131008 R196544:S196544 JN196544:JO196544 TJ196544:TK196544 ADF196544:ADG196544 ANB196544:ANC196544 AWX196544:AWY196544 BGT196544:BGU196544 BQP196544:BQQ196544 CAL196544:CAM196544 CKH196544:CKI196544 CUD196544:CUE196544 DDZ196544:DEA196544 DNV196544:DNW196544 DXR196544:DXS196544 EHN196544:EHO196544 ERJ196544:ERK196544 FBF196544:FBG196544 FLB196544:FLC196544 FUX196544:FUY196544 GET196544:GEU196544 GOP196544:GOQ196544 GYL196544:GYM196544 HIH196544:HII196544 HSD196544:HSE196544 IBZ196544:ICA196544 ILV196544:ILW196544 IVR196544:IVS196544 JFN196544:JFO196544 JPJ196544:JPK196544 JZF196544:JZG196544 KJB196544:KJC196544 KSX196544:KSY196544 LCT196544:LCU196544 LMP196544:LMQ196544 LWL196544:LWM196544 MGH196544:MGI196544 MQD196544:MQE196544 MZZ196544:NAA196544 NJV196544:NJW196544 NTR196544:NTS196544 ODN196544:ODO196544 ONJ196544:ONK196544 OXF196544:OXG196544 PHB196544:PHC196544 PQX196544:PQY196544 QAT196544:QAU196544 QKP196544:QKQ196544 QUL196544:QUM196544 REH196544:REI196544 ROD196544:ROE196544 RXZ196544:RYA196544 SHV196544:SHW196544 SRR196544:SRS196544 TBN196544:TBO196544 TLJ196544:TLK196544 TVF196544:TVG196544 UFB196544:UFC196544 UOX196544:UOY196544 UYT196544:UYU196544 VIP196544:VIQ196544 VSL196544:VSM196544 WCH196544:WCI196544 WMD196544:WME196544 WVZ196544:WWA196544 R262080:S262080 JN262080:JO262080 TJ262080:TK262080 ADF262080:ADG262080 ANB262080:ANC262080 AWX262080:AWY262080 BGT262080:BGU262080 BQP262080:BQQ262080 CAL262080:CAM262080 CKH262080:CKI262080 CUD262080:CUE262080 DDZ262080:DEA262080 DNV262080:DNW262080 DXR262080:DXS262080 EHN262080:EHO262080 ERJ262080:ERK262080 FBF262080:FBG262080 FLB262080:FLC262080 FUX262080:FUY262080 GET262080:GEU262080 GOP262080:GOQ262080 GYL262080:GYM262080 HIH262080:HII262080 HSD262080:HSE262080 IBZ262080:ICA262080 ILV262080:ILW262080 IVR262080:IVS262080 JFN262080:JFO262080 JPJ262080:JPK262080 JZF262080:JZG262080 KJB262080:KJC262080 KSX262080:KSY262080 LCT262080:LCU262080 LMP262080:LMQ262080 LWL262080:LWM262080 MGH262080:MGI262080 MQD262080:MQE262080 MZZ262080:NAA262080 NJV262080:NJW262080 NTR262080:NTS262080 ODN262080:ODO262080 ONJ262080:ONK262080 OXF262080:OXG262080 PHB262080:PHC262080 PQX262080:PQY262080 QAT262080:QAU262080 QKP262080:QKQ262080 QUL262080:QUM262080 REH262080:REI262080 ROD262080:ROE262080 RXZ262080:RYA262080 SHV262080:SHW262080 SRR262080:SRS262080 TBN262080:TBO262080 TLJ262080:TLK262080 TVF262080:TVG262080 UFB262080:UFC262080 UOX262080:UOY262080 UYT262080:UYU262080 VIP262080:VIQ262080 VSL262080:VSM262080 WCH262080:WCI262080 WMD262080:WME262080 WVZ262080:WWA262080 R327616:S327616 JN327616:JO327616 TJ327616:TK327616 ADF327616:ADG327616 ANB327616:ANC327616 AWX327616:AWY327616 BGT327616:BGU327616 BQP327616:BQQ327616 CAL327616:CAM327616 CKH327616:CKI327616 CUD327616:CUE327616 DDZ327616:DEA327616 DNV327616:DNW327616 DXR327616:DXS327616 EHN327616:EHO327616 ERJ327616:ERK327616 FBF327616:FBG327616 FLB327616:FLC327616 FUX327616:FUY327616 GET327616:GEU327616 GOP327616:GOQ327616 GYL327616:GYM327616 HIH327616:HII327616 HSD327616:HSE327616 IBZ327616:ICA327616 ILV327616:ILW327616 IVR327616:IVS327616 JFN327616:JFO327616 JPJ327616:JPK327616 JZF327616:JZG327616 KJB327616:KJC327616 KSX327616:KSY327616 LCT327616:LCU327616 LMP327616:LMQ327616 LWL327616:LWM327616 MGH327616:MGI327616 MQD327616:MQE327616 MZZ327616:NAA327616 NJV327616:NJW327616 NTR327616:NTS327616 ODN327616:ODO327616 ONJ327616:ONK327616 OXF327616:OXG327616 PHB327616:PHC327616 PQX327616:PQY327616 QAT327616:QAU327616 QKP327616:QKQ327616 QUL327616:QUM327616 REH327616:REI327616 ROD327616:ROE327616 RXZ327616:RYA327616 SHV327616:SHW327616 SRR327616:SRS327616 TBN327616:TBO327616 TLJ327616:TLK327616 TVF327616:TVG327616 UFB327616:UFC327616 UOX327616:UOY327616 UYT327616:UYU327616 VIP327616:VIQ327616 VSL327616:VSM327616 WCH327616:WCI327616 WMD327616:WME327616 WVZ327616:WWA327616 R393152:S393152 JN393152:JO393152 TJ393152:TK393152 ADF393152:ADG393152 ANB393152:ANC393152 AWX393152:AWY393152 BGT393152:BGU393152 BQP393152:BQQ393152 CAL393152:CAM393152 CKH393152:CKI393152 CUD393152:CUE393152 DDZ393152:DEA393152 DNV393152:DNW393152 DXR393152:DXS393152 EHN393152:EHO393152 ERJ393152:ERK393152 FBF393152:FBG393152 FLB393152:FLC393152 FUX393152:FUY393152 GET393152:GEU393152 GOP393152:GOQ393152 GYL393152:GYM393152 HIH393152:HII393152 HSD393152:HSE393152 IBZ393152:ICA393152 ILV393152:ILW393152 IVR393152:IVS393152 JFN393152:JFO393152 JPJ393152:JPK393152 JZF393152:JZG393152 KJB393152:KJC393152 KSX393152:KSY393152 LCT393152:LCU393152 LMP393152:LMQ393152 LWL393152:LWM393152 MGH393152:MGI393152 MQD393152:MQE393152 MZZ393152:NAA393152 NJV393152:NJW393152 NTR393152:NTS393152 ODN393152:ODO393152 ONJ393152:ONK393152 OXF393152:OXG393152 PHB393152:PHC393152 PQX393152:PQY393152 QAT393152:QAU393152 QKP393152:QKQ393152 QUL393152:QUM393152 REH393152:REI393152 ROD393152:ROE393152 RXZ393152:RYA393152 SHV393152:SHW393152 SRR393152:SRS393152 TBN393152:TBO393152 TLJ393152:TLK393152 TVF393152:TVG393152 UFB393152:UFC393152 UOX393152:UOY393152 UYT393152:UYU393152 VIP393152:VIQ393152 VSL393152:VSM393152 WCH393152:WCI393152 WMD393152:WME393152 WVZ393152:WWA393152 R458688:S458688 JN458688:JO458688 TJ458688:TK458688 ADF458688:ADG458688 ANB458688:ANC458688 AWX458688:AWY458688 BGT458688:BGU458688 BQP458688:BQQ458688 CAL458688:CAM458688 CKH458688:CKI458688 CUD458688:CUE458688 DDZ458688:DEA458688 DNV458688:DNW458688 DXR458688:DXS458688 EHN458688:EHO458688 ERJ458688:ERK458688 FBF458688:FBG458688 FLB458688:FLC458688 FUX458688:FUY458688 GET458688:GEU458688 GOP458688:GOQ458688 GYL458688:GYM458688 HIH458688:HII458688 HSD458688:HSE458688 IBZ458688:ICA458688 ILV458688:ILW458688 IVR458688:IVS458688 JFN458688:JFO458688 JPJ458688:JPK458688 JZF458688:JZG458688 KJB458688:KJC458688 KSX458688:KSY458688 LCT458688:LCU458688 LMP458688:LMQ458688 LWL458688:LWM458688 MGH458688:MGI458688 MQD458688:MQE458688 MZZ458688:NAA458688 NJV458688:NJW458688 NTR458688:NTS458688 ODN458688:ODO458688 ONJ458688:ONK458688 OXF458688:OXG458688 PHB458688:PHC458688 PQX458688:PQY458688 QAT458688:QAU458688 QKP458688:QKQ458688 QUL458688:QUM458688 REH458688:REI458688 ROD458688:ROE458688 RXZ458688:RYA458688 SHV458688:SHW458688 SRR458688:SRS458688 TBN458688:TBO458688 TLJ458688:TLK458688 TVF458688:TVG458688 UFB458688:UFC458688 UOX458688:UOY458688 UYT458688:UYU458688 VIP458688:VIQ458688 VSL458688:VSM458688 WCH458688:WCI458688 WMD458688:WME458688 WVZ458688:WWA458688 R524224:S524224 JN524224:JO524224 TJ524224:TK524224 ADF524224:ADG524224 ANB524224:ANC524224 AWX524224:AWY524224 BGT524224:BGU524224 BQP524224:BQQ524224 CAL524224:CAM524224 CKH524224:CKI524224 CUD524224:CUE524224 DDZ524224:DEA524224 DNV524224:DNW524224 DXR524224:DXS524224 EHN524224:EHO524224 ERJ524224:ERK524224 FBF524224:FBG524224 FLB524224:FLC524224 FUX524224:FUY524224 GET524224:GEU524224 GOP524224:GOQ524224 GYL524224:GYM524224 HIH524224:HII524224 HSD524224:HSE524224 IBZ524224:ICA524224 ILV524224:ILW524224 IVR524224:IVS524224 JFN524224:JFO524224 JPJ524224:JPK524224 JZF524224:JZG524224 KJB524224:KJC524224 KSX524224:KSY524224 LCT524224:LCU524224 LMP524224:LMQ524224 LWL524224:LWM524224 MGH524224:MGI524224 MQD524224:MQE524224 MZZ524224:NAA524224 NJV524224:NJW524224 NTR524224:NTS524224 ODN524224:ODO524224 ONJ524224:ONK524224 OXF524224:OXG524224 PHB524224:PHC524224 PQX524224:PQY524224 QAT524224:QAU524224 QKP524224:QKQ524224 QUL524224:QUM524224 REH524224:REI524224 ROD524224:ROE524224 RXZ524224:RYA524224 SHV524224:SHW524224 SRR524224:SRS524224 TBN524224:TBO524224 TLJ524224:TLK524224 TVF524224:TVG524224 UFB524224:UFC524224 UOX524224:UOY524224 UYT524224:UYU524224 VIP524224:VIQ524224 VSL524224:VSM524224 WCH524224:WCI524224 WMD524224:WME524224 WVZ524224:WWA524224 R589760:S589760 JN589760:JO589760 TJ589760:TK589760 ADF589760:ADG589760 ANB589760:ANC589760 AWX589760:AWY589760 BGT589760:BGU589760 BQP589760:BQQ589760 CAL589760:CAM589760 CKH589760:CKI589760 CUD589760:CUE589760 DDZ589760:DEA589760 DNV589760:DNW589760 DXR589760:DXS589760 EHN589760:EHO589760 ERJ589760:ERK589760 FBF589760:FBG589760 FLB589760:FLC589760 FUX589760:FUY589760 GET589760:GEU589760 GOP589760:GOQ589760 GYL589760:GYM589760 HIH589760:HII589760 HSD589760:HSE589760 IBZ589760:ICA589760 ILV589760:ILW589760 IVR589760:IVS589760 JFN589760:JFO589760 JPJ589760:JPK589760 JZF589760:JZG589760 KJB589760:KJC589760 KSX589760:KSY589760 LCT589760:LCU589760 LMP589760:LMQ589760 LWL589760:LWM589760 MGH589760:MGI589760 MQD589760:MQE589760 MZZ589760:NAA589760 NJV589760:NJW589760 NTR589760:NTS589760 ODN589760:ODO589760 ONJ589760:ONK589760 OXF589760:OXG589760 PHB589760:PHC589760 PQX589760:PQY589760 QAT589760:QAU589760 QKP589760:QKQ589760 QUL589760:QUM589760 REH589760:REI589760 ROD589760:ROE589760 RXZ589760:RYA589760 SHV589760:SHW589760 SRR589760:SRS589760 TBN589760:TBO589760 TLJ589760:TLK589760 TVF589760:TVG589760 UFB589760:UFC589760 UOX589760:UOY589760 UYT589760:UYU589760 VIP589760:VIQ589760 VSL589760:VSM589760 WCH589760:WCI589760 WMD589760:WME589760 WVZ589760:WWA589760 R655296:S655296 JN655296:JO655296 TJ655296:TK655296 ADF655296:ADG655296 ANB655296:ANC655296 AWX655296:AWY655296 BGT655296:BGU655296 BQP655296:BQQ655296 CAL655296:CAM655296 CKH655296:CKI655296 CUD655296:CUE655296 DDZ655296:DEA655296 DNV655296:DNW655296 DXR655296:DXS655296 EHN655296:EHO655296 ERJ655296:ERK655296 FBF655296:FBG655296 FLB655296:FLC655296 FUX655296:FUY655296 GET655296:GEU655296 GOP655296:GOQ655296 GYL655296:GYM655296 HIH655296:HII655296 HSD655296:HSE655296 IBZ655296:ICA655296 ILV655296:ILW655296 IVR655296:IVS655296 JFN655296:JFO655296 JPJ655296:JPK655296 JZF655296:JZG655296 KJB655296:KJC655296 KSX655296:KSY655296 LCT655296:LCU655296 LMP655296:LMQ655296 LWL655296:LWM655296 MGH655296:MGI655296 MQD655296:MQE655296 MZZ655296:NAA655296 NJV655296:NJW655296 NTR655296:NTS655296 ODN655296:ODO655296 ONJ655296:ONK655296 OXF655296:OXG655296 PHB655296:PHC655296 PQX655296:PQY655296 QAT655296:QAU655296 QKP655296:QKQ655296 QUL655296:QUM655296 REH655296:REI655296 ROD655296:ROE655296 RXZ655296:RYA655296 SHV655296:SHW655296 SRR655296:SRS655296 TBN655296:TBO655296 TLJ655296:TLK655296 TVF655296:TVG655296 UFB655296:UFC655296 UOX655296:UOY655296 UYT655296:UYU655296 VIP655296:VIQ655296 VSL655296:VSM655296 WCH655296:WCI655296 WMD655296:WME655296 WVZ655296:WWA655296 R720832:S720832 JN720832:JO720832 TJ720832:TK720832 ADF720832:ADG720832 ANB720832:ANC720832 AWX720832:AWY720832 BGT720832:BGU720832 BQP720832:BQQ720832 CAL720832:CAM720832 CKH720832:CKI720832 CUD720832:CUE720832 DDZ720832:DEA720832 DNV720832:DNW720832 DXR720832:DXS720832 EHN720832:EHO720832 ERJ720832:ERK720832 FBF720832:FBG720832 FLB720832:FLC720832 FUX720832:FUY720832 GET720832:GEU720832 GOP720832:GOQ720832 GYL720832:GYM720832 HIH720832:HII720832 HSD720832:HSE720832 IBZ720832:ICA720832 ILV720832:ILW720832 IVR720832:IVS720832 JFN720832:JFO720832 JPJ720832:JPK720832 JZF720832:JZG720832 KJB720832:KJC720832 KSX720832:KSY720832 LCT720832:LCU720832 LMP720832:LMQ720832 LWL720832:LWM720832 MGH720832:MGI720832 MQD720832:MQE720832 MZZ720832:NAA720832 NJV720832:NJW720832 NTR720832:NTS720832 ODN720832:ODO720832 ONJ720832:ONK720832 OXF720832:OXG720832 PHB720832:PHC720832 PQX720832:PQY720832 QAT720832:QAU720832 QKP720832:QKQ720832 QUL720832:QUM720832 REH720832:REI720832 ROD720832:ROE720832 RXZ720832:RYA720832 SHV720832:SHW720832 SRR720832:SRS720832 TBN720832:TBO720832 TLJ720832:TLK720832 TVF720832:TVG720832 UFB720832:UFC720832 UOX720832:UOY720832 UYT720832:UYU720832 VIP720832:VIQ720832 VSL720832:VSM720832 WCH720832:WCI720832 WMD720832:WME720832 WVZ720832:WWA720832 R786368:S786368 JN786368:JO786368 TJ786368:TK786368 ADF786368:ADG786368 ANB786368:ANC786368 AWX786368:AWY786368 BGT786368:BGU786368 BQP786368:BQQ786368 CAL786368:CAM786368 CKH786368:CKI786368 CUD786368:CUE786368 DDZ786368:DEA786368 DNV786368:DNW786368 DXR786368:DXS786368 EHN786368:EHO786368 ERJ786368:ERK786368 FBF786368:FBG786368 FLB786368:FLC786368 FUX786368:FUY786368 GET786368:GEU786368 GOP786368:GOQ786368 GYL786368:GYM786368 HIH786368:HII786368 HSD786368:HSE786368 IBZ786368:ICA786368 ILV786368:ILW786368 IVR786368:IVS786368 JFN786368:JFO786368 JPJ786368:JPK786368 JZF786368:JZG786368 KJB786368:KJC786368 KSX786368:KSY786368 LCT786368:LCU786368 LMP786368:LMQ786368 LWL786368:LWM786368 MGH786368:MGI786368 MQD786368:MQE786368 MZZ786368:NAA786368 NJV786368:NJW786368 NTR786368:NTS786368 ODN786368:ODO786368 ONJ786368:ONK786368 OXF786368:OXG786368 PHB786368:PHC786368 PQX786368:PQY786368 QAT786368:QAU786368 QKP786368:QKQ786368 QUL786368:QUM786368 REH786368:REI786368 ROD786368:ROE786368 RXZ786368:RYA786368 SHV786368:SHW786368 SRR786368:SRS786368 TBN786368:TBO786368 TLJ786368:TLK786368 TVF786368:TVG786368 UFB786368:UFC786368 UOX786368:UOY786368 UYT786368:UYU786368 VIP786368:VIQ786368 VSL786368:VSM786368 WCH786368:WCI786368 WMD786368:WME786368 WVZ786368:WWA786368 R851904:S851904 JN851904:JO851904 TJ851904:TK851904 ADF851904:ADG851904 ANB851904:ANC851904 AWX851904:AWY851904 BGT851904:BGU851904 BQP851904:BQQ851904 CAL851904:CAM851904 CKH851904:CKI851904 CUD851904:CUE851904 DDZ851904:DEA851904 DNV851904:DNW851904 DXR851904:DXS851904 EHN851904:EHO851904 ERJ851904:ERK851904 FBF851904:FBG851904 FLB851904:FLC851904 FUX851904:FUY851904 GET851904:GEU851904 GOP851904:GOQ851904 GYL851904:GYM851904 HIH851904:HII851904 HSD851904:HSE851904 IBZ851904:ICA851904 ILV851904:ILW851904 IVR851904:IVS851904 JFN851904:JFO851904 JPJ851904:JPK851904 JZF851904:JZG851904 KJB851904:KJC851904 KSX851904:KSY851904 LCT851904:LCU851904 LMP851904:LMQ851904 LWL851904:LWM851904 MGH851904:MGI851904 MQD851904:MQE851904 MZZ851904:NAA851904 NJV851904:NJW851904 NTR851904:NTS851904 ODN851904:ODO851904 ONJ851904:ONK851904 OXF851904:OXG851904 PHB851904:PHC851904 PQX851904:PQY851904 QAT851904:QAU851904 QKP851904:QKQ851904 QUL851904:QUM851904 REH851904:REI851904 ROD851904:ROE851904 RXZ851904:RYA851904 SHV851904:SHW851904 SRR851904:SRS851904 TBN851904:TBO851904 TLJ851904:TLK851904 TVF851904:TVG851904 UFB851904:UFC851904 UOX851904:UOY851904 UYT851904:UYU851904 VIP851904:VIQ851904 VSL851904:VSM851904 WCH851904:WCI851904 WMD851904:WME851904 WVZ851904:WWA851904 R917440:S917440 JN917440:JO917440 TJ917440:TK917440 ADF917440:ADG917440 ANB917440:ANC917440 AWX917440:AWY917440 BGT917440:BGU917440 BQP917440:BQQ917440 CAL917440:CAM917440 CKH917440:CKI917440 CUD917440:CUE917440 DDZ917440:DEA917440 DNV917440:DNW917440 DXR917440:DXS917440 EHN917440:EHO917440 ERJ917440:ERK917440 FBF917440:FBG917440 FLB917440:FLC917440 FUX917440:FUY917440 GET917440:GEU917440 GOP917440:GOQ917440 GYL917440:GYM917440 HIH917440:HII917440 HSD917440:HSE917440 IBZ917440:ICA917440 ILV917440:ILW917440 IVR917440:IVS917440 JFN917440:JFO917440 JPJ917440:JPK917440 JZF917440:JZG917440 KJB917440:KJC917440 KSX917440:KSY917440 LCT917440:LCU917440 LMP917440:LMQ917440 LWL917440:LWM917440 MGH917440:MGI917440 MQD917440:MQE917440 MZZ917440:NAA917440 NJV917440:NJW917440 NTR917440:NTS917440 ODN917440:ODO917440 ONJ917440:ONK917440 OXF917440:OXG917440 PHB917440:PHC917440 PQX917440:PQY917440 QAT917440:QAU917440 QKP917440:QKQ917440 QUL917440:QUM917440 REH917440:REI917440 ROD917440:ROE917440 RXZ917440:RYA917440 SHV917440:SHW917440 SRR917440:SRS917440 TBN917440:TBO917440 TLJ917440:TLK917440 TVF917440:TVG917440 UFB917440:UFC917440 UOX917440:UOY917440 UYT917440:UYU917440 VIP917440:VIQ917440 VSL917440:VSM917440 WCH917440:WCI917440 WMD917440:WME917440 WVZ917440:WWA917440 R982976:S982976 JN982976:JO982976 TJ982976:TK982976 ADF982976:ADG982976 ANB982976:ANC982976 AWX982976:AWY982976 BGT982976:BGU982976 BQP982976:BQQ982976 CAL982976:CAM982976 CKH982976:CKI982976 CUD982976:CUE982976 DDZ982976:DEA982976 DNV982976:DNW982976 DXR982976:DXS982976 EHN982976:EHO982976 ERJ982976:ERK982976 FBF982976:FBG982976 FLB982976:FLC982976 FUX982976:FUY982976 GET982976:GEU982976 GOP982976:GOQ982976 GYL982976:GYM982976 HIH982976:HII982976 HSD982976:HSE982976 IBZ982976:ICA982976 ILV982976:ILW982976 IVR982976:IVS982976 JFN982976:JFO982976 JPJ982976:JPK982976 JZF982976:JZG982976 KJB982976:KJC982976 KSX982976:KSY982976 LCT982976:LCU982976 LMP982976:LMQ982976 LWL982976:LWM982976 MGH982976:MGI982976 MQD982976:MQE982976 MZZ982976:NAA982976 NJV982976:NJW982976 NTR982976:NTS982976 ODN982976:ODO982976 ONJ982976:ONK982976 OXF982976:OXG982976 PHB982976:PHC982976 PQX982976:PQY982976 QAT982976:QAU982976 QKP982976:QKQ982976 QUL982976:QUM982976 REH982976:REI982976 ROD982976:ROE982976 RXZ982976:RYA982976 SHV982976:SHW982976 SRR982976:SRS982976 TBN982976:TBO982976 TLJ982976:TLK982976 TVF982976:TVG982976 UFB982976:UFC982976 UOX982976:UOY982976 UYT982976:UYU982976 VIP982976:VIQ982976 VSL982976:VSM982976 WCH982976:WCI982976 WMD982976:WME982976 WVZ982976:WWA982976" xr:uid="{A28DB305-6C3A-4373-9C1D-A9417CDCB402}">
      <formula1>0</formula1>
      <formula2>0</formula2>
    </dataValidation>
    <dataValidation type="decimal" allowBlank="1" showInputMessage="1" showErrorMessage="1" errorTitle="Valor não permitido" error="Digite um percentual entre 0% e 100%." promptTitle="Valores admissíveis:" prompt="Insira valores entre 0 e 100%." sqref="R18:S18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471:S65471 JN65471:JO65471 TJ65471:TK65471 ADF65471:ADG65471 ANB65471:ANC65471 AWX65471:AWY65471 BGT65471:BGU65471 BQP65471:BQQ65471 CAL65471:CAM65471 CKH65471:CKI65471 CUD65471:CUE65471 DDZ65471:DEA65471 DNV65471:DNW65471 DXR65471:DXS65471 EHN65471:EHO65471 ERJ65471:ERK65471 FBF65471:FBG65471 FLB65471:FLC65471 FUX65471:FUY65471 GET65471:GEU65471 GOP65471:GOQ65471 GYL65471:GYM65471 HIH65471:HII65471 HSD65471:HSE65471 IBZ65471:ICA65471 ILV65471:ILW65471 IVR65471:IVS65471 JFN65471:JFO65471 JPJ65471:JPK65471 JZF65471:JZG65471 KJB65471:KJC65471 KSX65471:KSY65471 LCT65471:LCU65471 LMP65471:LMQ65471 LWL65471:LWM65471 MGH65471:MGI65471 MQD65471:MQE65471 MZZ65471:NAA65471 NJV65471:NJW65471 NTR65471:NTS65471 ODN65471:ODO65471 ONJ65471:ONK65471 OXF65471:OXG65471 PHB65471:PHC65471 PQX65471:PQY65471 QAT65471:QAU65471 QKP65471:QKQ65471 QUL65471:QUM65471 REH65471:REI65471 ROD65471:ROE65471 RXZ65471:RYA65471 SHV65471:SHW65471 SRR65471:SRS65471 TBN65471:TBO65471 TLJ65471:TLK65471 TVF65471:TVG65471 UFB65471:UFC65471 UOX65471:UOY65471 UYT65471:UYU65471 VIP65471:VIQ65471 VSL65471:VSM65471 WCH65471:WCI65471 WMD65471:WME65471 WVZ65471:WWA65471 R131007:S131007 JN131007:JO131007 TJ131007:TK131007 ADF131007:ADG131007 ANB131007:ANC131007 AWX131007:AWY131007 BGT131007:BGU131007 BQP131007:BQQ131007 CAL131007:CAM131007 CKH131007:CKI131007 CUD131007:CUE131007 DDZ131007:DEA131007 DNV131007:DNW131007 DXR131007:DXS131007 EHN131007:EHO131007 ERJ131007:ERK131007 FBF131007:FBG131007 FLB131007:FLC131007 FUX131007:FUY131007 GET131007:GEU131007 GOP131007:GOQ131007 GYL131007:GYM131007 HIH131007:HII131007 HSD131007:HSE131007 IBZ131007:ICA131007 ILV131007:ILW131007 IVR131007:IVS131007 JFN131007:JFO131007 JPJ131007:JPK131007 JZF131007:JZG131007 KJB131007:KJC131007 KSX131007:KSY131007 LCT131007:LCU131007 LMP131007:LMQ131007 LWL131007:LWM131007 MGH131007:MGI131007 MQD131007:MQE131007 MZZ131007:NAA131007 NJV131007:NJW131007 NTR131007:NTS131007 ODN131007:ODO131007 ONJ131007:ONK131007 OXF131007:OXG131007 PHB131007:PHC131007 PQX131007:PQY131007 QAT131007:QAU131007 QKP131007:QKQ131007 QUL131007:QUM131007 REH131007:REI131007 ROD131007:ROE131007 RXZ131007:RYA131007 SHV131007:SHW131007 SRR131007:SRS131007 TBN131007:TBO131007 TLJ131007:TLK131007 TVF131007:TVG131007 UFB131007:UFC131007 UOX131007:UOY131007 UYT131007:UYU131007 VIP131007:VIQ131007 VSL131007:VSM131007 WCH131007:WCI131007 WMD131007:WME131007 WVZ131007:WWA131007 R196543:S196543 JN196543:JO196543 TJ196543:TK196543 ADF196543:ADG196543 ANB196543:ANC196543 AWX196543:AWY196543 BGT196543:BGU196543 BQP196543:BQQ196543 CAL196543:CAM196543 CKH196543:CKI196543 CUD196543:CUE196543 DDZ196543:DEA196543 DNV196543:DNW196543 DXR196543:DXS196543 EHN196543:EHO196543 ERJ196543:ERK196543 FBF196543:FBG196543 FLB196543:FLC196543 FUX196543:FUY196543 GET196543:GEU196543 GOP196543:GOQ196543 GYL196543:GYM196543 HIH196543:HII196543 HSD196543:HSE196543 IBZ196543:ICA196543 ILV196543:ILW196543 IVR196543:IVS196543 JFN196543:JFO196543 JPJ196543:JPK196543 JZF196543:JZG196543 KJB196543:KJC196543 KSX196543:KSY196543 LCT196543:LCU196543 LMP196543:LMQ196543 LWL196543:LWM196543 MGH196543:MGI196543 MQD196543:MQE196543 MZZ196543:NAA196543 NJV196543:NJW196543 NTR196543:NTS196543 ODN196543:ODO196543 ONJ196543:ONK196543 OXF196543:OXG196543 PHB196543:PHC196543 PQX196543:PQY196543 QAT196543:QAU196543 QKP196543:QKQ196543 QUL196543:QUM196543 REH196543:REI196543 ROD196543:ROE196543 RXZ196543:RYA196543 SHV196543:SHW196543 SRR196543:SRS196543 TBN196543:TBO196543 TLJ196543:TLK196543 TVF196543:TVG196543 UFB196543:UFC196543 UOX196543:UOY196543 UYT196543:UYU196543 VIP196543:VIQ196543 VSL196543:VSM196543 WCH196543:WCI196543 WMD196543:WME196543 WVZ196543:WWA196543 R262079:S262079 JN262079:JO262079 TJ262079:TK262079 ADF262079:ADG262079 ANB262079:ANC262079 AWX262079:AWY262079 BGT262079:BGU262079 BQP262079:BQQ262079 CAL262079:CAM262079 CKH262079:CKI262079 CUD262079:CUE262079 DDZ262079:DEA262079 DNV262079:DNW262079 DXR262079:DXS262079 EHN262079:EHO262079 ERJ262079:ERK262079 FBF262079:FBG262079 FLB262079:FLC262079 FUX262079:FUY262079 GET262079:GEU262079 GOP262079:GOQ262079 GYL262079:GYM262079 HIH262079:HII262079 HSD262079:HSE262079 IBZ262079:ICA262079 ILV262079:ILW262079 IVR262079:IVS262079 JFN262079:JFO262079 JPJ262079:JPK262079 JZF262079:JZG262079 KJB262079:KJC262079 KSX262079:KSY262079 LCT262079:LCU262079 LMP262079:LMQ262079 LWL262079:LWM262079 MGH262079:MGI262079 MQD262079:MQE262079 MZZ262079:NAA262079 NJV262079:NJW262079 NTR262079:NTS262079 ODN262079:ODO262079 ONJ262079:ONK262079 OXF262079:OXG262079 PHB262079:PHC262079 PQX262079:PQY262079 QAT262079:QAU262079 QKP262079:QKQ262079 QUL262079:QUM262079 REH262079:REI262079 ROD262079:ROE262079 RXZ262079:RYA262079 SHV262079:SHW262079 SRR262079:SRS262079 TBN262079:TBO262079 TLJ262079:TLK262079 TVF262079:TVG262079 UFB262079:UFC262079 UOX262079:UOY262079 UYT262079:UYU262079 VIP262079:VIQ262079 VSL262079:VSM262079 WCH262079:WCI262079 WMD262079:WME262079 WVZ262079:WWA262079 R327615:S327615 JN327615:JO327615 TJ327615:TK327615 ADF327615:ADG327615 ANB327615:ANC327615 AWX327615:AWY327615 BGT327615:BGU327615 BQP327615:BQQ327615 CAL327615:CAM327615 CKH327615:CKI327615 CUD327615:CUE327615 DDZ327615:DEA327615 DNV327615:DNW327615 DXR327615:DXS327615 EHN327615:EHO327615 ERJ327615:ERK327615 FBF327615:FBG327615 FLB327615:FLC327615 FUX327615:FUY327615 GET327615:GEU327615 GOP327615:GOQ327615 GYL327615:GYM327615 HIH327615:HII327615 HSD327615:HSE327615 IBZ327615:ICA327615 ILV327615:ILW327615 IVR327615:IVS327615 JFN327615:JFO327615 JPJ327615:JPK327615 JZF327615:JZG327615 KJB327615:KJC327615 KSX327615:KSY327615 LCT327615:LCU327615 LMP327615:LMQ327615 LWL327615:LWM327615 MGH327615:MGI327615 MQD327615:MQE327615 MZZ327615:NAA327615 NJV327615:NJW327615 NTR327615:NTS327615 ODN327615:ODO327615 ONJ327615:ONK327615 OXF327615:OXG327615 PHB327615:PHC327615 PQX327615:PQY327615 QAT327615:QAU327615 QKP327615:QKQ327615 QUL327615:QUM327615 REH327615:REI327615 ROD327615:ROE327615 RXZ327615:RYA327615 SHV327615:SHW327615 SRR327615:SRS327615 TBN327615:TBO327615 TLJ327615:TLK327615 TVF327615:TVG327615 UFB327615:UFC327615 UOX327615:UOY327615 UYT327615:UYU327615 VIP327615:VIQ327615 VSL327615:VSM327615 WCH327615:WCI327615 WMD327615:WME327615 WVZ327615:WWA327615 R393151:S393151 JN393151:JO393151 TJ393151:TK393151 ADF393151:ADG393151 ANB393151:ANC393151 AWX393151:AWY393151 BGT393151:BGU393151 BQP393151:BQQ393151 CAL393151:CAM393151 CKH393151:CKI393151 CUD393151:CUE393151 DDZ393151:DEA393151 DNV393151:DNW393151 DXR393151:DXS393151 EHN393151:EHO393151 ERJ393151:ERK393151 FBF393151:FBG393151 FLB393151:FLC393151 FUX393151:FUY393151 GET393151:GEU393151 GOP393151:GOQ393151 GYL393151:GYM393151 HIH393151:HII393151 HSD393151:HSE393151 IBZ393151:ICA393151 ILV393151:ILW393151 IVR393151:IVS393151 JFN393151:JFO393151 JPJ393151:JPK393151 JZF393151:JZG393151 KJB393151:KJC393151 KSX393151:KSY393151 LCT393151:LCU393151 LMP393151:LMQ393151 LWL393151:LWM393151 MGH393151:MGI393151 MQD393151:MQE393151 MZZ393151:NAA393151 NJV393151:NJW393151 NTR393151:NTS393151 ODN393151:ODO393151 ONJ393151:ONK393151 OXF393151:OXG393151 PHB393151:PHC393151 PQX393151:PQY393151 QAT393151:QAU393151 QKP393151:QKQ393151 QUL393151:QUM393151 REH393151:REI393151 ROD393151:ROE393151 RXZ393151:RYA393151 SHV393151:SHW393151 SRR393151:SRS393151 TBN393151:TBO393151 TLJ393151:TLK393151 TVF393151:TVG393151 UFB393151:UFC393151 UOX393151:UOY393151 UYT393151:UYU393151 VIP393151:VIQ393151 VSL393151:VSM393151 WCH393151:WCI393151 WMD393151:WME393151 WVZ393151:WWA393151 R458687:S458687 JN458687:JO458687 TJ458687:TK458687 ADF458687:ADG458687 ANB458687:ANC458687 AWX458687:AWY458687 BGT458687:BGU458687 BQP458687:BQQ458687 CAL458687:CAM458687 CKH458687:CKI458687 CUD458687:CUE458687 DDZ458687:DEA458687 DNV458687:DNW458687 DXR458687:DXS458687 EHN458687:EHO458687 ERJ458687:ERK458687 FBF458687:FBG458687 FLB458687:FLC458687 FUX458687:FUY458687 GET458687:GEU458687 GOP458687:GOQ458687 GYL458687:GYM458687 HIH458687:HII458687 HSD458687:HSE458687 IBZ458687:ICA458687 ILV458687:ILW458687 IVR458687:IVS458687 JFN458687:JFO458687 JPJ458687:JPK458687 JZF458687:JZG458687 KJB458687:KJC458687 KSX458687:KSY458687 LCT458687:LCU458687 LMP458687:LMQ458687 LWL458687:LWM458687 MGH458687:MGI458687 MQD458687:MQE458687 MZZ458687:NAA458687 NJV458687:NJW458687 NTR458687:NTS458687 ODN458687:ODO458687 ONJ458687:ONK458687 OXF458687:OXG458687 PHB458687:PHC458687 PQX458687:PQY458687 QAT458687:QAU458687 QKP458687:QKQ458687 QUL458687:QUM458687 REH458687:REI458687 ROD458687:ROE458687 RXZ458687:RYA458687 SHV458687:SHW458687 SRR458687:SRS458687 TBN458687:TBO458687 TLJ458687:TLK458687 TVF458687:TVG458687 UFB458687:UFC458687 UOX458687:UOY458687 UYT458687:UYU458687 VIP458687:VIQ458687 VSL458687:VSM458687 WCH458687:WCI458687 WMD458687:WME458687 WVZ458687:WWA458687 R524223:S524223 JN524223:JO524223 TJ524223:TK524223 ADF524223:ADG524223 ANB524223:ANC524223 AWX524223:AWY524223 BGT524223:BGU524223 BQP524223:BQQ524223 CAL524223:CAM524223 CKH524223:CKI524223 CUD524223:CUE524223 DDZ524223:DEA524223 DNV524223:DNW524223 DXR524223:DXS524223 EHN524223:EHO524223 ERJ524223:ERK524223 FBF524223:FBG524223 FLB524223:FLC524223 FUX524223:FUY524223 GET524223:GEU524223 GOP524223:GOQ524223 GYL524223:GYM524223 HIH524223:HII524223 HSD524223:HSE524223 IBZ524223:ICA524223 ILV524223:ILW524223 IVR524223:IVS524223 JFN524223:JFO524223 JPJ524223:JPK524223 JZF524223:JZG524223 KJB524223:KJC524223 KSX524223:KSY524223 LCT524223:LCU524223 LMP524223:LMQ524223 LWL524223:LWM524223 MGH524223:MGI524223 MQD524223:MQE524223 MZZ524223:NAA524223 NJV524223:NJW524223 NTR524223:NTS524223 ODN524223:ODO524223 ONJ524223:ONK524223 OXF524223:OXG524223 PHB524223:PHC524223 PQX524223:PQY524223 QAT524223:QAU524223 QKP524223:QKQ524223 QUL524223:QUM524223 REH524223:REI524223 ROD524223:ROE524223 RXZ524223:RYA524223 SHV524223:SHW524223 SRR524223:SRS524223 TBN524223:TBO524223 TLJ524223:TLK524223 TVF524223:TVG524223 UFB524223:UFC524223 UOX524223:UOY524223 UYT524223:UYU524223 VIP524223:VIQ524223 VSL524223:VSM524223 WCH524223:WCI524223 WMD524223:WME524223 WVZ524223:WWA524223 R589759:S589759 JN589759:JO589759 TJ589759:TK589759 ADF589759:ADG589759 ANB589759:ANC589759 AWX589759:AWY589759 BGT589759:BGU589759 BQP589759:BQQ589759 CAL589759:CAM589759 CKH589759:CKI589759 CUD589759:CUE589759 DDZ589759:DEA589759 DNV589759:DNW589759 DXR589759:DXS589759 EHN589759:EHO589759 ERJ589759:ERK589759 FBF589759:FBG589759 FLB589759:FLC589759 FUX589759:FUY589759 GET589759:GEU589759 GOP589759:GOQ589759 GYL589759:GYM589759 HIH589759:HII589759 HSD589759:HSE589759 IBZ589759:ICA589759 ILV589759:ILW589759 IVR589759:IVS589759 JFN589759:JFO589759 JPJ589759:JPK589759 JZF589759:JZG589759 KJB589759:KJC589759 KSX589759:KSY589759 LCT589759:LCU589759 LMP589759:LMQ589759 LWL589759:LWM589759 MGH589759:MGI589759 MQD589759:MQE589759 MZZ589759:NAA589759 NJV589759:NJW589759 NTR589759:NTS589759 ODN589759:ODO589759 ONJ589759:ONK589759 OXF589759:OXG589759 PHB589759:PHC589759 PQX589759:PQY589759 QAT589759:QAU589759 QKP589759:QKQ589759 QUL589759:QUM589759 REH589759:REI589759 ROD589759:ROE589759 RXZ589759:RYA589759 SHV589759:SHW589759 SRR589759:SRS589759 TBN589759:TBO589759 TLJ589759:TLK589759 TVF589759:TVG589759 UFB589759:UFC589759 UOX589759:UOY589759 UYT589759:UYU589759 VIP589759:VIQ589759 VSL589759:VSM589759 WCH589759:WCI589759 WMD589759:WME589759 WVZ589759:WWA589759 R655295:S655295 JN655295:JO655295 TJ655295:TK655295 ADF655295:ADG655295 ANB655295:ANC655295 AWX655295:AWY655295 BGT655295:BGU655295 BQP655295:BQQ655295 CAL655295:CAM655295 CKH655295:CKI655295 CUD655295:CUE655295 DDZ655295:DEA655295 DNV655295:DNW655295 DXR655295:DXS655295 EHN655295:EHO655295 ERJ655295:ERK655295 FBF655295:FBG655295 FLB655295:FLC655295 FUX655295:FUY655295 GET655295:GEU655295 GOP655295:GOQ655295 GYL655295:GYM655295 HIH655295:HII655295 HSD655295:HSE655295 IBZ655295:ICA655295 ILV655295:ILW655295 IVR655295:IVS655295 JFN655295:JFO655295 JPJ655295:JPK655295 JZF655295:JZG655295 KJB655295:KJC655295 KSX655295:KSY655295 LCT655295:LCU655295 LMP655295:LMQ655295 LWL655295:LWM655295 MGH655295:MGI655295 MQD655295:MQE655295 MZZ655295:NAA655295 NJV655295:NJW655295 NTR655295:NTS655295 ODN655295:ODO655295 ONJ655295:ONK655295 OXF655295:OXG655295 PHB655295:PHC655295 PQX655295:PQY655295 QAT655295:QAU655295 QKP655295:QKQ655295 QUL655295:QUM655295 REH655295:REI655295 ROD655295:ROE655295 RXZ655295:RYA655295 SHV655295:SHW655295 SRR655295:SRS655295 TBN655295:TBO655295 TLJ655295:TLK655295 TVF655295:TVG655295 UFB655295:UFC655295 UOX655295:UOY655295 UYT655295:UYU655295 VIP655295:VIQ655295 VSL655295:VSM655295 WCH655295:WCI655295 WMD655295:WME655295 WVZ655295:WWA655295 R720831:S720831 JN720831:JO720831 TJ720831:TK720831 ADF720831:ADG720831 ANB720831:ANC720831 AWX720831:AWY720831 BGT720831:BGU720831 BQP720831:BQQ720831 CAL720831:CAM720831 CKH720831:CKI720831 CUD720831:CUE720831 DDZ720831:DEA720831 DNV720831:DNW720831 DXR720831:DXS720831 EHN720831:EHO720831 ERJ720831:ERK720831 FBF720831:FBG720831 FLB720831:FLC720831 FUX720831:FUY720831 GET720831:GEU720831 GOP720831:GOQ720831 GYL720831:GYM720831 HIH720831:HII720831 HSD720831:HSE720831 IBZ720831:ICA720831 ILV720831:ILW720831 IVR720831:IVS720831 JFN720831:JFO720831 JPJ720831:JPK720831 JZF720831:JZG720831 KJB720831:KJC720831 KSX720831:KSY720831 LCT720831:LCU720831 LMP720831:LMQ720831 LWL720831:LWM720831 MGH720831:MGI720831 MQD720831:MQE720831 MZZ720831:NAA720831 NJV720831:NJW720831 NTR720831:NTS720831 ODN720831:ODO720831 ONJ720831:ONK720831 OXF720831:OXG720831 PHB720831:PHC720831 PQX720831:PQY720831 QAT720831:QAU720831 QKP720831:QKQ720831 QUL720831:QUM720831 REH720831:REI720831 ROD720831:ROE720831 RXZ720831:RYA720831 SHV720831:SHW720831 SRR720831:SRS720831 TBN720831:TBO720831 TLJ720831:TLK720831 TVF720831:TVG720831 UFB720831:UFC720831 UOX720831:UOY720831 UYT720831:UYU720831 VIP720831:VIQ720831 VSL720831:VSM720831 WCH720831:WCI720831 WMD720831:WME720831 WVZ720831:WWA720831 R786367:S786367 JN786367:JO786367 TJ786367:TK786367 ADF786367:ADG786367 ANB786367:ANC786367 AWX786367:AWY786367 BGT786367:BGU786367 BQP786367:BQQ786367 CAL786367:CAM786367 CKH786367:CKI786367 CUD786367:CUE786367 DDZ786367:DEA786367 DNV786367:DNW786367 DXR786367:DXS786367 EHN786367:EHO786367 ERJ786367:ERK786367 FBF786367:FBG786367 FLB786367:FLC786367 FUX786367:FUY786367 GET786367:GEU786367 GOP786367:GOQ786367 GYL786367:GYM786367 HIH786367:HII786367 HSD786367:HSE786367 IBZ786367:ICA786367 ILV786367:ILW786367 IVR786367:IVS786367 JFN786367:JFO786367 JPJ786367:JPK786367 JZF786367:JZG786367 KJB786367:KJC786367 KSX786367:KSY786367 LCT786367:LCU786367 LMP786367:LMQ786367 LWL786367:LWM786367 MGH786367:MGI786367 MQD786367:MQE786367 MZZ786367:NAA786367 NJV786367:NJW786367 NTR786367:NTS786367 ODN786367:ODO786367 ONJ786367:ONK786367 OXF786367:OXG786367 PHB786367:PHC786367 PQX786367:PQY786367 QAT786367:QAU786367 QKP786367:QKQ786367 QUL786367:QUM786367 REH786367:REI786367 ROD786367:ROE786367 RXZ786367:RYA786367 SHV786367:SHW786367 SRR786367:SRS786367 TBN786367:TBO786367 TLJ786367:TLK786367 TVF786367:TVG786367 UFB786367:UFC786367 UOX786367:UOY786367 UYT786367:UYU786367 VIP786367:VIQ786367 VSL786367:VSM786367 WCH786367:WCI786367 WMD786367:WME786367 WVZ786367:WWA786367 R851903:S851903 JN851903:JO851903 TJ851903:TK851903 ADF851903:ADG851903 ANB851903:ANC851903 AWX851903:AWY851903 BGT851903:BGU851903 BQP851903:BQQ851903 CAL851903:CAM851903 CKH851903:CKI851903 CUD851903:CUE851903 DDZ851903:DEA851903 DNV851903:DNW851903 DXR851903:DXS851903 EHN851903:EHO851903 ERJ851903:ERK851903 FBF851903:FBG851903 FLB851903:FLC851903 FUX851903:FUY851903 GET851903:GEU851903 GOP851903:GOQ851903 GYL851903:GYM851903 HIH851903:HII851903 HSD851903:HSE851903 IBZ851903:ICA851903 ILV851903:ILW851903 IVR851903:IVS851903 JFN851903:JFO851903 JPJ851903:JPK851903 JZF851903:JZG851903 KJB851903:KJC851903 KSX851903:KSY851903 LCT851903:LCU851903 LMP851903:LMQ851903 LWL851903:LWM851903 MGH851903:MGI851903 MQD851903:MQE851903 MZZ851903:NAA851903 NJV851903:NJW851903 NTR851903:NTS851903 ODN851903:ODO851903 ONJ851903:ONK851903 OXF851903:OXG851903 PHB851903:PHC851903 PQX851903:PQY851903 QAT851903:QAU851903 QKP851903:QKQ851903 QUL851903:QUM851903 REH851903:REI851903 ROD851903:ROE851903 RXZ851903:RYA851903 SHV851903:SHW851903 SRR851903:SRS851903 TBN851903:TBO851903 TLJ851903:TLK851903 TVF851903:TVG851903 UFB851903:UFC851903 UOX851903:UOY851903 UYT851903:UYU851903 VIP851903:VIQ851903 VSL851903:VSM851903 WCH851903:WCI851903 WMD851903:WME851903 WVZ851903:WWA851903 R917439:S917439 JN917439:JO917439 TJ917439:TK917439 ADF917439:ADG917439 ANB917439:ANC917439 AWX917439:AWY917439 BGT917439:BGU917439 BQP917439:BQQ917439 CAL917439:CAM917439 CKH917439:CKI917439 CUD917439:CUE917439 DDZ917439:DEA917439 DNV917439:DNW917439 DXR917439:DXS917439 EHN917439:EHO917439 ERJ917439:ERK917439 FBF917439:FBG917439 FLB917439:FLC917439 FUX917439:FUY917439 GET917439:GEU917439 GOP917439:GOQ917439 GYL917439:GYM917439 HIH917439:HII917439 HSD917439:HSE917439 IBZ917439:ICA917439 ILV917439:ILW917439 IVR917439:IVS917439 JFN917439:JFO917439 JPJ917439:JPK917439 JZF917439:JZG917439 KJB917439:KJC917439 KSX917439:KSY917439 LCT917439:LCU917439 LMP917439:LMQ917439 LWL917439:LWM917439 MGH917439:MGI917439 MQD917439:MQE917439 MZZ917439:NAA917439 NJV917439:NJW917439 NTR917439:NTS917439 ODN917439:ODO917439 ONJ917439:ONK917439 OXF917439:OXG917439 PHB917439:PHC917439 PQX917439:PQY917439 QAT917439:QAU917439 QKP917439:QKQ917439 QUL917439:QUM917439 REH917439:REI917439 ROD917439:ROE917439 RXZ917439:RYA917439 SHV917439:SHW917439 SRR917439:SRS917439 TBN917439:TBO917439 TLJ917439:TLK917439 TVF917439:TVG917439 UFB917439:UFC917439 UOX917439:UOY917439 UYT917439:UYU917439 VIP917439:VIQ917439 VSL917439:VSM917439 WCH917439:WCI917439 WMD917439:WME917439 WVZ917439:WWA917439 R982975:S982975 JN982975:JO982975 TJ982975:TK982975 ADF982975:ADG982975 ANB982975:ANC982975 AWX982975:AWY982975 BGT982975:BGU982975 BQP982975:BQQ982975 CAL982975:CAM982975 CKH982975:CKI982975 CUD982975:CUE982975 DDZ982975:DEA982975 DNV982975:DNW982975 DXR982975:DXS982975 EHN982975:EHO982975 ERJ982975:ERK982975 FBF982975:FBG982975 FLB982975:FLC982975 FUX982975:FUY982975 GET982975:GEU982975 GOP982975:GOQ982975 GYL982975:GYM982975 HIH982975:HII982975 HSD982975:HSE982975 IBZ982975:ICA982975 ILV982975:ILW982975 IVR982975:IVS982975 JFN982975:JFO982975 JPJ982975:JPK982975 JZF982975:JZG982975 KJB982975:KJC982975 KSX982975:KSY982975 LCT982975:LCU982975 LMP982975:LMQ982975 LWL982975:LWM982975 MGH982975:MGI982975 MQD982975:MQE982975 MZZ982975:NAA982975 NJV982975:NJW982975 NTR982975:NTS982975 ODN982975:ODO982975 ONJ982975:ONK982975 OXF982975:OXG982975 PHB982975:PHC982975 PQX982975:PQY982975 QAT982975:QAU982975 QKP982975:QKQ982975 QUL982975:QUM982975 REH982975:REI982975 ROD982975:ROE982975 RXZ982975:RYA982975 SHV982975:SHW982975 SRR982975:SRS982975 TBN982975:TBO982975 TLJ982975:TLK982975 TVF982975:TVG982975 UFB982975:UFC982975 UOX982975:UOY982975 UYT982975:UYU982975 VIP982975:VIQ982975 VSL982975:VSM982975 WCH982975:WCI982975 WMD982975:WME982975 WVZ982975:WWA982975" xr:uid="{9F95B810-D658-4A4B-92BB-B35B7311F549}">
      <formula1>0</formula1>
      <formula2>1</formula2>
    </dataValidation>
    <dataValidation type="list" allowBlank="1" showErrorMessage="1" sqref="J25:S25 JF25:JO25 TB25:TK25 ACX25:ADG25 AMT25:ANC25 AWP25:AWY25 BGL25:BGU25 BQH25:BQQ25 CAD25:CAM25 CJZ25:CKI25 CTV25:CUE25 DDR25:DEA25 DNN25:DNW25 DXJ25:DXS25 EHF25:EHO25 ERB25:ERK25 FAX25:FBG25 FKT25:FLC25 FUP25:FUY25 GEL25:GEU25 GOH25:GOQ25 GYD25:GYM25 HHZ25:HII25 HRV25:HSE25 IBR25:ICA25 ILN25:ILW25 IVJ25:IVS25 JFF25:JFO25 JPB25:JPK25 JYX25:JZG25 KIT25:KJC25 KSP25:KSY25 LCL25:LCU25 LMH25:LMQ25 LWD25:LWM25 MFZ25:MGI25 MPV25:MQE25 MZR25:NAA25 NJN25:NJW25 NTJ25:NTS25 ODF25:ODO25 ONB25:ONK25 OWX25:OXG25 PGT25:PHC25 PQP25:PQY25 QAL25:QAU25 QKH25:QKQ25 QUD25:QUM25 RDZ25:REI25 RNV25:ROE25 RXR25:RYA25 SHN25:SHW25 SRJ25:SRS25 TBF25:TBO25 TLB25:TLK25 TUX25:TVG25 UET25:UFC25 UOP25:UOY25 UYL25:UYU25 VIH25:VIQ25 VSD25:VSM25 WBZ25:WCI25 WLV25:WME25 WVR25:WWA25 J65478:S65478 JF65478:JO65478 TB65478:TK65478 ACX65478:ADG65478 AMT65478:ANC65478 AWP65478:AWY65478 BGL65478:BGU65478 BQH65478:BQQ65478 CAD65478:CAM65478 CJZ65478:CKI65478 CTV65478:CUE65478 DDR65478:DEA65478 DNN65478:DNW65478 DXJ65478:DXS65478 EHF65478:EHO65478 ERB65478:ERK65478 FAX65478:FBG65478 FKT65478:FLC65478 FUP65478:FUY65478 GEL65478:GEU65478 GOH65478:GOQ65478 GYD65478:GYM65478 HHZ65478:HII65478 HRV65478:HSE65478 IBR65478:ICA65478 ILN65478:ILW65478 IVJ65478:IVS65478 JFF65478:JFO65478 JPB65478:JPK65478 JYX65478:JZG65478 KIT65478:KJC65478 KSP65478:KSY65478 LCL65478:LCU65478 LMH65478:LMQ65478 LWD65478:LWM65478 MFZ65478:MGI65478 MPV65478:MQE65478 MZR65478:NAA65478 NJN65478:NJW65478 NTJ65478:NTS65478 ODF65478:ODO65478 ONB65478:ONK65478 OWX65478:OXG65478 PGT65478:PHC65478 PQP65478:PQY65478 QAL65478:QAU65478 QKH65478:QKQ65478 QUD65478:QUM65478 RDZ65478:REI65478 RNV65478:ROE65478 RXR65478:RYA65478 SHN65478:SHW65478 SRJ65478:SRS65478 TBF65478:TBO65478 TLB65478:TLK65478 TUX65478:TVG65478 UET65478:UFC65478 UOP65478:UOY65478 UYL65478:UYU65478 VIH65478:VIQ65478 VSD65478:VSM65478 WBZ65478:WCI65478 WLV65478:WME65478 WVR65478:WWA65478 J131014:S131014 JF131014:JO131014 TB131014:TK131014 ACX131014:ADG131014 AMT131014:ANC131014 AWP131014:AWY131014 BGL131014:BGU131014 BQH131014:BQQ131014 CAD131014:CAM131014 CJZ131014:CKI131014 CTV131014:CUE131014 DDR131014:DEA131014 DNN131014:DNW131014 DXJ131014:DXS131014 EHF131014:EHO131014 ERB131014:ERK131014 FAX131014:FBG131014 FKT131014:FLC131014 FUP131014:FUY131014 GEL131014:GEU131014 GOH131014:GOQ131014 GYD131014:GYM131014 HHZ131014:HII131014 HRV131014:HSE131014 IBR131014:ICA131014 ILN131014:ILW131014 IVJ131014:IVS131014 JFF131014:JFO131014 JPB131014:JPK131014 JYX131014:JZG131014 KIT131014:KJC131014 KSP131014:KSY131014 LCL131014:LCU131014 LMH131014:LMQ131014 LWD131014:LWM131014 MFZ131014:MGI131014 MPV131014:MQE131014 MZR131014:NAA131014 NJN131014:NJW131014 NTJ131014:NTS131014 ODF131014:ODO131014 ONB131014:ONK131014 OWX131014:OXG131014 PGT131014:PHC131014 PQP131014:PQY131014 QAL131014:QAU131014 QKH131014:QKQ131014 QUD131014:QUM131014 RDZ131014:REI131014 RNV131014:ROE131014 RXR131014:RYA131014 SHN131014:SHW131014 SRJ131014:SRS131014 TBF131014:TBO131014 TLB131014:TLK131014 TUX131014:TVG131014 UET131014:UFC131014 UOP131014:UOY131014 UYL131014:UYU131014 VIH131014:VIQ131014 VSD131014:VSM131014 WBZ131014:WCI131014 WLV131014:WME131014 WVR131014:WWA131014 J196550:S196550 JF196550:JO196550 TB196550:TK196550 ACX196550:ADG196550 AMT196550:ANC196550 AWP196550:AWY196550 BGL196550:BGU196550 BQH196550:BQQ196550 CAD196550:CAM196550 CJZ196550:CKI196550 CTV196550:CUE196550 DDR196550:DEA196550 DNN196550:DNW196550 DXJ196550:DXS196550 EHF196550:EHO196550 ERB196550:ERK196550 FAX196550:FBG196550 FKT196550:FLC196550 FUP196550:FUY196550 GEL196550:GEU196550 GOH196550:GOQ196550 GYD196550:GYM196550 HHZ196550:HII196550 HRV196550:HSE196550 IBR196550:ICA196550 ILN196550:ILW196550 IVJ196550:IVS196550 JFF196550:JFO196550 JPB196550:JPK196550 JYX196550:JZG196550 KIT196550:KJC196550 KSP196550:KSY196550 LCL196550:LCU196550 LMH196550:LMQ196550 LWD196550:LWM196550 MFZ196550:MGI196550 MPV196550:MQE196550 MZR196550:NAA196550 NJN196550:NJW196550 NTJ196550:NTS196550 ODF196550:ODO196550 ONB196550:ONK196550 OWX196550:OXG196550 PGT196550:PHC196550 PQP196550:PQY196550 QAL196550:QAU196550 QKH196550:QKQ196550 QUD196550:QUM196550 RDZ196550:REI196550 RNV196550:ROE196550 RXR196550:RYA196550 SHN196550:SHW196550 SRJ196550:SRS196550 TBF196550:TBO196550 TLB196550:TLK196550 TUX196550:TVG196550 UET196550:UFC196550 UOP196550:UOY196550 UYL196550:UYU196550 VIH196550:VIQ196550 VSD196550:VSM196550 WBZ196550:WCI196550 WLV196550:WME196550 WVR196550:WWA196550 J262086:S262086 JF262086:JO262086 TB262086:TK262086 ACX262086:ADG262086 AMT262086:ANC262086 AWP262086:AWY262086 BGL262086:BGU262086 BQH262086:BQQ262086 CAD262086:CAM262086 CJZ262086:CKI262086 CTV262086:CUE262086 DDR262086:DEA262086 DNN262086:DNW262086 DXJ262086:DXS262086 EHF262086:EHO262086 ERB262086:ERK262086 FAX262086:FBG262086 FKT262086:FLC262086 FUP262086:FUY262086 GEL262086:GEU262086 GOH262086:GOQ262086 GYD262086:GYM262086 HHZ262086:HII262086 HRV262086:HSE262086 IBR262086:ICA262086 ILN262086:ILW262086 IVJ262086:IVS262086 JFF262086:JFO262086 JPB262086:JPK262086 JYX262086:JZG262086 KIT262086:KJC262086 KSP262086:KSY262086 LCL262086:LCU262086 LMH262086:LMQ262086 LWD262086:LWM262086 MFZ262086:MGI262086 MPV262086:MQE262086 MZR262086:NAA262086 NJN262086:NJW262086 NTJ262086:NTS262086 ODF262086:ODO262086 ONB262086:ONK262086 OWX262086:OXG262086 PGT262086:PHC262086 PQP262086:PQY262086 QAL262086:QAU262086 QKH262086:QKQ262086 QUD262086:QUM262086 RDZ262086:REI262086 RNV262086:ROE262086 RXR262086:RYA262086 SHN262086:SHW262086 SRJ262086:SRS262086 TBF262086:TBO262086 TLB262086:TLK262086 TUX262086:TVG262086 UET262086:UFC262086 UOP262086:UOY262086 UYL262086:UYU262086 VIH262086:VIQ262086 VSD262086:VSM262086 WBZ262086:WCI262086 WLV262086:WME262086 WVR262086:WWA262086 J327622:S327622 JF327622:JO327622 TB327622:TK327622 ACX327622:ADG327622 AMT327622:ANC327622 AWP327622:AWY327622 BGL327622:BGU327622 BQH327622:BQQ327622 CAD327622:CAM327622 CJZ327622:CKI327622 CTV327622:CUE327622 DDR327622:DEA327622 DNN327622:DNW327622 DXJ327622:DXS327622 EHF327622:EHO327622 ERB327622:ERK327622 FAX327622:FBG327622 FKT327622:FLC327622 FUP327622:FUY327622 GEL327622:GEU327622 GOH327622:GOQ327622 GYD327622:GYM327622 HHZ327622:HII327622 HRV327622:HSE327622 IBR327622:ICA327622 ILN327622:ILW327622 IVJ327622:IVS327622 JFF327622:JFO327622 JPB327622:JPK327622 JYX327622:JZG327622 KIT327622:KJC327622 KSP327622:KSY327622 LCL327622:LCU327622 LMH327622:LMQ327622 LWD327622:LWM327622 MFZ327622:MGI327622 MPV327622:MQE327622 MZR327622:NAA327622 NJN327622:NJW327622 NTJ327622:NTS327622 ODF327622:ODO327622 ONB327622:ONK327622 OWX327622:OXG327622 PGT327622:PHC327622 PQP327622:PQY327622 QAL327622:QAU327622 QKH327622:QKQ327622 QUD327622:QUM327622 RDZ327622:REI327622 RNV327622:ROE327622 RXR327622:RYA327622 SHN327622:SHW327622 SRJ327622:SRS327622 TBF327622:TBO327622 TLB327622:TLK327622 TUX327622:TVG327622 UET327622:UFC327622 UOP327622:UOY327622 UYL327622:UYU327622 VIH327622:VIQ327622 VSD327622:VSM327622 WBZ327622:WCI327622 WLV327622:WME327622 WVR327622:WWA327622 J393158:S393158 JF393158:JO393158 TB393158:TK393158 ACX393158:ADG393158 AMT393158:ANC393158 AWP393158:AWY393158 BGL393158:BGU393158 BQH393158:BQQ393158 CAD393158:CAM393158 CJZ393158:CKI393158 CTV393158:CUE393158 DDR393158:DEA393158 DNN393158:DNW393158 DXJ393158:DXS393158 EHF393158:EHO393158 ERB393158:ERK393158 FAX393158:FBG393158 FKT393158:FLC393158 FUP393158:FUY393158 GEL393158:GEU393158 GOH393158:GOQ393158 GYD393158:GYM393158 HHZ393158:HII393158 HRV393158:HSE393158 IBR393158:ICA393158 ILN393158:ILW393158 IVJ393158:IVS393158 JFF393158:JFO393158 JPB393158:JPK393158 JYX393158:JZG393158 KIT393158:KJC393158 KSP393158:KSY393158 LCL393158:LCU393158 LMH393158:LMQ393158 LWD393158:LWM393158 MFZ393158:MGI393158 MPV393158:MQE393158 MZR393158:NAA393158 NJN393158:NJW393158 NTJ393158:NTS393158 ODF393158:ODO393158 ONB393158:ONK393158 OWX393158:OXG393158 PGT393158:PHC393158 PQP393158:PQY393158 QAL393158:QAU393158 QKH393158:QKQ393158 QUD393158:QUM393158 RDZ393158:REI393158 RNV393158:ROE393158 RXR393158:RYA393158 SHN393158:SHW393158 SRJ393158:SRS393158 TBF393158:TBO393158 TLB393158:TLK393158 TUX393158:TVG393158 UET393158:UFC393158 UOP393158:UOY393158 UYL393158:UYU393158 VIH393158:VIQ393158 VSD393158:VSM393158 WBZ393158:WCI393158 WLV393158:WME393158 WVR393158:WWA393158 J458694:S458694 JF458694:JO458694 TB458694:TK458694 ACX458694:ADG458694 AMT458694:ANC458694 AWP458694:AWY458694 BGL458694:BGU458694 BQH458694:BQQ458694 CAD458694:CAM458694 CJZ458694:CKI458694 CTV458694:CUE458694 DDR458694:DEA458694 DNN458694:DNW458694 DXJ458694:DXS458694 EHF458694:EHO458694 ERB458694:ERK458694 FAX458694:FBG458694 FKT458694:FLC458694 FUP458694:FUY458694 GEL458694:GEU458694 GOH458694:GOQ458694 GYD458694:GYM458694 HHZ458694:HII458694 HRV458694:HSE458694 IBR458694:ICA458694 ILN458694:ILW458694 IVJ458694:IVS458694 JFF458694:JFO458694 JPB458694:JPK458694 JYX458694:JZG458694 KIT458694:KJC458694 KSP458694:KSY458694 LCL458694:LCU458694 LMH458694:LMQ458694 LWD458694:LWM458694 MFZ458694:MGI458694 MPV458694:MQE458694 MZR458694:NAA458694 NJN458694:NJW458694 NTJ458694:NTS458694 ODF458694:ODO458694 ONB458694:ONK458694 OWX458694:OXG458694 PGT458694:PHC458694 PQP458694:PQY458694 QAL458694:QAU458694 QKH458694:QKQ458694 QUD458694:QUM458694 RDZ458694:REI458694 RNV458694:ROE458694 RXR458694:RYA458694 SHN458694:SHW458694 SRJ458694:SRS458694 TBF458694:TBO458694 TLB458694:TLK458694 TUX458694:TVG458694 UET458694:UFC458694 UOP458694:UOY458694 UYL458694:UYU458694 VIH458694:VIQ458694 VSD458694:VSM458694 WBZ458694:WCI458694 WLV458694:WME458694 WVR458694:WWA458694 J524230:S524230 JF524230:JO524230 TB524230:TK524230 ACX524230:ADG524230 AMT524230:ANC524230 AWP524230:AWY524230 BGL524230:BGU524230 BQH524230:BQQ524230 CAD524230:CAM524230 CJZ524230:CKI524230 CTV524230:CUE524230 DDR524230:DEA524230 DNN524230:DNW524230 DXJ524230:DXS524230 EHF524230:EHO524230 ERB524230:ERK524230 FAX524230:FBG524230 FKT524230:FLC524230 FUP524230:FUY524230 GEL524230:GEU524230 GOH524230:GOQ524230 GYD524230:GYM524230 HHZ524230:HII524230 HRV524230:HSE524230 IBR524230:ICA524230 ILN524230:ILW524230 IVJ524230:IVS524230 JFF524230:JFO524230 JPB524230:JPK524230 JYX524230:JZG524230 KIT524230:KJC524230 KSP524230:KSY524230 LCL524230:LCU524230 LMH524230:LMQ524230 LWD524230:LWM524230 MFZ524230:MGI524230 MPV524230:MQE524230 MZR524230:NAA524230 NJN524230:NJW524230 NTJ524230:NTS524230 ODF524230:ODO524230 ONB524230:ONK524230 OWX524230:OXG524230 PGT524230:PHC524230 PQP524230:PQY524230 QAL524230:QAU524230 QKH524230:QKQ524230 QUD524230:QUM524230 RDZ524230:REI524230 RNV524230:ROE524230 RXR524230:RYA524230 SHN524230:SHW524230 SRJ524230:SRS524230 TBF524230:TBO524230 TLB524230:TLK524230 TUX524230:TVG524230 UET524230:UFC524230 UOP524230:UOY524230 UYL524230:UYU524230 VIH524230:VIQ524230 VSD524230:VSM524230 WBZ524230:WCI524230 WLV524230:WME524230 WVR524230:WWA524230 J589766:S589766 JF589766:JO589766 TB589766:TK589766 ACX589766:ADG589766 AMT589766:ANC589766 AWP589766:AWY589766 BGL589766:BGU589766 BQH589766:BQQ589766 CAD589766:CAM589766 CJZ589766:CKI589766 CTV589766:CUE589766 DDR589766:DEA589766 DNN589766:DNW589766 DXJ589766:DXS589766 EHF589766:EHO589766 ERB589766:ERK589766 FAX589766:FBG589766 FKT589766:FLC589766 FUP589766:FUY589766 GEL589766:GEU589766 GOH589766:GOQ589766 GYD589766:GYM589766 HHZ589766:HII589766 HRV589766:HSE589766 IBR589766:ICA589766 ILN589766:ILW589766 IVJ589766:IVS589766 JFF589766:JFO589766 JPB589766:JPK589766 JYX589766:JZG589766 KIT589766:KJC589766 KSP589766:KSY589766 LCL589766:LCU589766 LMH589766:LMQ589766 LWD589766:LWM589766 MFZ589766:MGI589766 MPV589766:MQE589766 MZR589766:NAA589766 NJN589766:NJW589766 NTJ589766:NTS589766 ODF589766:ODO589766 ONB589766:ONK589766 OWX589766:OXG589766 PGT589766:PHC589766 PQP589766:PQY589766 QAL589766:QAU589766 QKH589766:QKQ589766 QUD589766:QUM589766 RDZ589766:REI589766 RNV589766:ROE589766 RXR589766:RYA589766 SHN589766:SHW589766 SRJ589766:SRS589766 TBF589766:TBO589766 TLB589766:TLK589766 TUX589766:TVG589766 UET589766:UFC589766 UOP589766:UOY589766 UYL589766:UYU589766 VIH589766:VIQ589766 VSD589766:VSM589766 WBZ589766:WCI589766 WLV589766:WME589766 WVR589766:WWA589766 J655302:S655302 JF655302:JO655302 TB655302:TK655302 ACX655302:ADG655302 AMT655302:ANC655302 AWP655302:AWY655302 BGL655302:BGU655302 BQH655302:BQQ655302 CAD655302:CAM655302 CJZ655302:CKI655302 CTV655302:CUE655302 DDR655302:DEA655302 DNN655302:DNW655302 DXJ655302:DXS655302 EHF655302:EHO655302 ERB655302:ERK655302 FAX655302:FBG655302 FKT655302:FLC655302 FUP655302:FUY655302 GEL655302:GEU655302 GOH655302:GOQ655302 GYD655302:GYM655302 HHZ655302:HII655302 HRV655302:HSE655302 IBR655302:ICA655302 ILN655302:ILW655302 IVJ655302:IVS655302 JFF655302:JFO655302 JPB655302:JPK655302 JYX655302:JZG655302 KIT655302:KJC655302 KSP655302:KSY655302 LCL655302:LCU655302 LMH655302:LMQ655302 LWD655302:LWM655302 MFZ655302:MGI655302 MPV655302:MQE655302 MZR655302:NAA655302 NJN655302:NJW655302 NTJ655302:NTS655302 ODF655302:ODO655302 ONB655302:ONK655302 OWX655302:OXG655302 PGT655302:PHC655302 PQP655302:PQY655302 QAL655302:QAU655302 QKH655302:QKQ655302 QUD655302:QUM655302 RDZ655302:REI655302 RNV655302:ROE655302 RXR655302:RYA655302 SHN655302:SHW655302 SRJ655302:SRS655302 TBF655302:TBO655302 TLB655302:TLK655302 TUX655302:TVG655302 UET655302:UFC655302 UOP655302:UOY655302 UYL655302:UYU655302 VIH655302:VIQ655302 VSD655302:VSM655302 WBZ655302:WCI655302 WLV655302:WME655302 WVR655302:WWA655302 J720838:S720838 JF720838:JO720838 TB720838:TK720838 ACX720838:ADG720838 AMT720838:ANC720838 AWP720838:AWY720838 BGL720838:BGU720838 BQH720838:BQQ720838 CAD720838:CAM720838 CJZ720838:CKI720838 CTV720838:CUE720838 DDR720838:DEA720838 DNN720838:DNW720838 DXJ720838:DXS720838 EHF720838:EHO720838 ERB720838:ERK720838 FAX720838:FBG720838 FKT720838:FLC720838 FUP720838:FUY720838 GEL720838:GEU720838 GOH720838:GOQ720838 GYD720838:GYM720838 HHZ720838:HII720838 HRV720838:HSE720838 IBR720838:ICA720838 ILN720838:ILW720838 IVJ720838:IVS720838 JFF720838:JFO720838 JPB720838:JPK720838 JYX720838:JZG720838 KIT720838:KJC720838 KSP720838:KSY720838 LCL720838:LCU720838 LMH720838:LMQ720838 LWD720838:LWM720838 MFZ720838:MGI720838 MPV720838:MQE720838 MZR720838:NAA720838 NJN720838:NJW720838 NTJ720838:NTS720838 ODF720838:ODO720838 ONB720838:ONK720838 OWX720838:OXG720838 PGT720838:PHC720838 PQP720838:PQY720838 QAL720838:QAU720838 QKH720838:QKQ720838 QUD720838:QUM720838 RDZ720838:REI720838 RNV720838:ROE720838 RXR720838:RYA720838 SHN720838:SHW720838 SRJ720838:SRS720838 TBF720838:TBO720838 TLB720838:TLK720838 TUX720838:TVG720838 UET720838:UFC720838 UOP720838:UOY720838 UYL720838:UYU720838 VIH720838:VIQ720838 VSD720838:VSM720838 WBZ720838:WCI720838 WLV720838:WME720838 WVR720838:WWA720838 J786374:S786374 JF786374:JO786374 TB786374:TK786374 ACX786374:ADG786374 AMT786374:ANC786374 AWP786374:AWY786374 BGL786374:BGU786374 BQH786374:BQQ786374 CAD786374:CAM786374 CJZ786374:CKI786374 CTV786374:CUE786374 DDR786374:DEA786374 DNN786374:DNW786374 DXJ786374:DXS786374 EHF786374:EHO786374 ERB786374:ERK786374 FAX786374:FBG786374 FKT786374:FLC786374 FUP786374:FUY786374 GEL786374:GEU786374 GOH786374:GOQ786374 GYD786374:GYM786374 HHZ786374:HII786374 HRV786374:HSE786374 IBR786374:ICA786374 ILN786374:ILW786374 IVJ786374:IVS786374 JFF786374:JFO786374 JPB786374:JPK786374 JYX786374:JZG786374 KIT786374:KJC786374 KSP786374:KSY786374 LCL786374:LCU786374 LMH786374:LMQ786374 LWD786374:LWM786374 MFZ786374:MGI786374 MPV786374:MQE786374 MZR786374:NAA786374 NJN786374:NJW786374 NTJ786374:NTS786374 ODF786374:ODO786374 ONB786374:ONK786374 OWX786374:OXG786374 PGT786374:PHC786374 PQP786374:PQY786374 QAL786374:QAU786374 QKH786374:QKQ786374 QUD786374:QUM786374 RDZ786374:REI786374 RNV786374:ROE786374 RXR786374:RYA786374 SHN786374:SHW786374 SRJ786374:SRS786374 TBF786374:TBO786374 TLB786374:TLK786374 TUX786374:TVG786374 UET786374:UFC786374 UOP786374:UOY786374 UYL786374:UYU786374 VIH786374:VIQ786374 VSD786374:VSM786374 WBZ786374:WCI786374 WLV786374:WME786374 WVR786374:WWA786374 J851910:S851910 JF851910:JO851910 TB851910:TK851910 ACX851910:ADG851910 AMT851910:ANC851910 AWP851910:AWY851910 BGL851910:BGU851910 BQH851910:BQQ851910 CAD851910:CAM851910 CJZ851910:CKI851910 CTV851910:CUE851910 DDR851910:DEA851910 DNN851910:DNW851910 DXJ851910:DXS851910 EHF851910:EHO851910 ERB851910:ERK851910 FAX851910:FBG851910 FKT851910:FLC851910 FUP851910:FUY851910 GEL851910:GEU851910 GOH851910:GOQ851910 GYD851910:GYM851910 HHZ851910:HII851910 HRV851910:HSE851910 IBR851910:ICA851910 ILN851910:ILW851910 IVJ851910:IVS851910 JFF851910:JFO851910 JPB851910:JPK851910 JYX851910:JZG851910 KIT851910:KJC851910 KSP851910:KSY851910 LCL851910:LCU851910 LMH851910:LMQ851910 LWD851910:LWM851910 MFZ851910:MGI851910 MPV851910:MQE851910 MZR851910:NAA851910 NJN851910:NJW851910 NTJ851910:NTS851910 ODF851910:ODO851910 ONB851910:ONK851910 OWX851910:OXG851910 PGT851910:PHC851910 PQP851910:PQY851910 QAL851910:QAU851910 QKH851910:QKQ851910 QUD851910:QUM851910 RDZ851910:REI851910 RNV851910:ROE851910 RXR851910:RYA851910 SHN851910:SHW851910 SRJ851910:SRS851910 TBF851910:TBO851910 TLB851910:TLK851910 TUX851910:TVG851910 UET851910:UFC851910 UOP851910:UOY851910 UYL851910:UYU851910 VIH851910:VIQ851910 VSD851910:VSM851910 WBZ851910:WCI851910 WLV851910:WME851910 WVR851910:WWA851910 J917446:S917446 JF917446:JO917446 TB917446:TK917446 ACX917446:ADG917446 AMT917446:ANC917446 AWP917446:AWY917446 BGL917446:BGU917446 BQH917446:BQQ917446 CAD917446:CAM917446 CJZ917446:CKI917446 CTV917446:CUE917446 DDR917446:DEA917446 DNN917446:DNW917446 DXJ917446:DXS917446 EHF917446:EHO917446 ERB917446:ERK917446 FAX917446:FBG917446 FKT917446:FLC917446 FUP917446:FUY917446 GEL917446:GEU917446 GOH917446:GOQ917446 GYD917446:GYM917446 HHZ917446:HII917446 HRV917446:HSE917446 IBR917446:ICA917446 ILN917446:ILW917446 IVJ917446:IVS917446 JFF917446:JFO917446 JPB917446:JPK917446 JYX917446:JZG917446 KIT917446:KJC917446 KSP917446:KSY917446 LCL917446:LCU917446 LMH917446:LMQ917446 LWD917446:LWM917446 MFZ917446:MGI917446 MPV917446:MQE917446 MZR917446:NAA917446 NJN917446:NJW917446 NTJ917446:NTS917446 ODF917446:ODO917446 ONB917446:ONK917446 OWX917446:OXG917446 PGT917446:PHC917446 PQP917446:PQY917446 QAL917446:QAU917446 QKH917446:QKQ917446 QUD917446:QUM917446 RDZ917446:REI917446 RNV917446:ROE917446 RXR917446:RYA917446 SHN917446:SHW917446 SRJ917446:SRS917446 TBF917446:TBO917446 TLB917446:TLK917446 TUX917446:TVG917446 UET917446:UFC917446 UOP917446:UOY917446 UYL917446:UYU917446 VIH917446:VIQ917446 VSD917446:VSM917446 WBZ917446:WCI917446 WLV917446:WME917446 WVR917446:WWA917446 J982982:S982982 JF982982:JO982982 TB982982:TK982982 ACX982982:ADG982982 AMT982982:ANC982982 AWP982982:AWY982982 BGL982982:BGU982982 BQH982982:BQQ982982 CAD982982:CAM982982 CJZ982982:CKI982982 CTV982982:CUE982982 DDR982982:DEA982982 DNN982982:DNW982982 DXJ982982:DXS982982 EHF982982:EHO982982 ERB982982:ERK982982 FAX982982:FBG982982 FKT982982:FLC982982 FUP982982:FUY982982 GEL982982:GEU982982 GOH982982:GOQ982982 GYD982982:GYM982982 HHZ982982:HII982982 HRV982982:HSE982982 IBR982982:ICA982982 ILN982982:ILW982982 IVJ982982:IVS982982 JFF982982:JFO982982 JPB982982:JPK982982 JYX982982:JZG982982 KIT982982:KJC982982 KSP982982:KSY982982 LCL982982:LCU982982 LMH982982:LMQ982982 LWD982982:LWM982982 MFZ982982:MGI982982 MPV982982:MQE982982 MZR982982:NAA982982 NJN982982:NJW982982 NTJ982982:NTS982982 ODF982982:ODO982982 ONB982982:ONK982982 OWX982982:OXG982982 PGT982982:PHC982982 PQP982982:PQY982982 QAL982982:QAU982982 QKH982982:QKQ982982 QUD982982:QUM982982 RDZ982982:REI982982 RNV982982:ROE982982 RXR982982:RYA982982 SHN982982:SHW982982 SRJ982982:SRS982982 TBF982982:TBO982982 TLB982982:TLK982982 TUX982982:TVG982982 UET982982:UFC982982 UOP982982:UOY982982 UYL982982:UYU982982 VIH982982:VIQ982982 VSD982982:VSM982982 WBZ982982:WCI982982 WLV982982:WME982982 WVR982982:WWA982982 J65518:S65518 JF65518:JO65518 TB65518:TK65518 ACX65518:ADG65518 AMT65518:ANC65518 AWP65518:AWY65518 BGL65518:BGU65518 BQH65518:BQQ65518 CAD65518:CAM65518 CJZ65518:CKI65518 CTV65518:CUE65518 DDR65518:DEA65518 DNN65518:DNW65518 DXJ65518:DXS65518 EHF65518:EHO65518 ERB65518:ERK65518 FAX65518:FBG65518 FKT65518:FLC65518 FUP65518:FUY65518 GEL65518:GEU65518 GOH65518:GOQ65518 GYD65518:GYM65518 HHZ65518:HII65518 HRV65518:HSE65518 IBR65518:ICA65518 ILN65518:ILW65518 IVJ65518:IVS65518 JFF65518:JFO65518 JPB65518:JPK65518 JYX65518:JZG65518 KIT65518:KJC65518 KSP65518:KSY65518 LCL65518:LCU65518 LMH65518:LMQ65518 LWD65518:LWM65518 MFZ65518:MGI65518 MPV65518:MQE65518 MZR65518:NAA65518 NJN65518:NJW65518 NTJ65518:NTS65518 ODF65518:ODO65518 ONB65518:ONK65518 OWX65518:OXG65518 PGT65518:PHC65518 PQP65518:PQY65518 QAL65518:QAU65518 QKH65518:QKQ65518 QUD65518:QUM65518 RDZ65518:REI65518 RNV65518:ROE65518 RXR65518:RYA65518 SHN65518:SHW65518 SRJ65518:SRS65518 TBF65518:TBO65518 TLB65518:TLK65518 TUX65518:TVG65518 UET65518:UFC65518 UOP65518:UOY65518 UYL65518:UYU65518 VIH65518:VIQ65518 VSD65518:VSM65518 WBZ65518:WCI65518 WLV65518:WME65518 WVR65518:WWA65518 J131054:S131054 JF131054:JO131054 TB131054:TK131054 ACX131054:ADG131054 AMT131054:ANC131054 AWP131054:AWY131054 BGL131054:BGU131054 BQH131054:BQQ131054 CAD131054:CAM131054 CJZ131054:CKI131054 CTV131054:CUE131054 DDR131054:DEA131054 DNN131054:DNW131054 DXJ131054:DXS131054 EHF131054:EHO131054 ERB131054:ERK131054 FAX131054:FBG131054 FKT131054:FLC131054 FUP131054:FUY131054 GEL131054:GEU131054 GOH131054:GOQ131054 GYD131054:GYM131054 HHZ131054:HII131054 HRV131054:HSE131054 IBR131054:ICA131054 ILN131054:ILW131054 IVJ131054:IVS131054 JFF131054:JFO131054 JPB131054:JPK131054 JYX131054:JZG131054 KIT131054:KJC131054 KSP131054:KSY131054 LCL131054:LCU131054 LMH131054:LMQ131054 LWD131054:LWM131054 MFZ131054:MGI131054 MPV131054:MQE131054 MZR131054:NAA131054 NJN131054:NJW131054 NTJ131054:NTS131054 ODF131054:ODO131054 ONB131054:ONK131054 OWX131054:OXG131054 PGT131054:PHC131054 PQP131054:PQY131054 QAL131054:QAU131054 QKH131054:QKQ131054 QUD131054:QUM131054 RDZ131054:REI131054 RNV131054:ROE131054 RXR131054:RYA131054 SHN131054:SHW131054 SRJ131054:SRS131054 TBF131054:TBO131054 TLB131054:TLK131054 TUX131054:TVG131054 UET131054:UFC131054 UOP131054:UOY131054 UYL131054:UYU131054 VIH131054:VIQ131054 VSD131054:VSM131054 WBZ131054:WCI131054 WLV131054:WME131054 WVR131054:WWA131054 J196590:S196590 JF196590:JO196590 TB196590:TK196590 ACX196590:ADG196590 AMT196590:ANC196590 AWP196590:AWY196590 BGL196590:BGU196590 BQH196590:BQQ196590 CAD196590:CAM196590 CJZ196590:CKI196590 CTV196590:CUE196590 DDR196590:DEA196590 DNN196590:DNW196590 DXJ196590:DXS196590 EHF196590:EHO196590 ERB196590:ERK196590 FAX196590:FBG196590 FKT196590:FLC196590 FUP196590:FUY196590 GEL196590:GEU196590 GOH196590:GOQ196590 GYD196590:GYM196590 HHZ196590:HII196590 HRV196590:HSE196590 IBR196590:ICA196590 ILN196590:ILW196590 IVJ196590:IVS196590 JFF196590:JFO196590 JPB196590:JPK196590 JYX196590:JZG196590 KIT196590:KJC196590 KSP196590:KSY196590 LCL196590:LCU196590 LMH196590:LMQ196590 LWD196590:LWM196590 MFZ196590:MGI196590 MPV196590:MQE196590 MZR196590:NAA196590 NJN196590:NJW196590 NTJ196590:NTS196590 ODF196590:ODO196590 ONB196590:ONK196590 OWX196590:OXG196590 PGT196590:PHC196590 PQP196590:PQY196590 QAL196590:QAU196590 QKH196590:QKQ196590 QUD196590:QUM196590 RDZ196590:REI196590 RNV196590:ROE196590 RXR196590:RYA196590 SHN196590:SHW196590 SRJ196590:SRS196590 TBF196590:TBO196590 TLB196590:TLK196590 TUX196590:TVG196590 UET196590:UFC196590 UOP196590:UOY196590 UYL196590:UYU196590 VIH196590:VIQ196590 VSD196590:VSM196590 WBZ196590:WCI196590 WLV196590:WME196590 WVR196590:WWA196590 J262126:S262126 JF262126:JO262126 TB262126:TK262126 ACX262126:ADG262126 AMT262126:ANC262126 AWP262126:AWY262126 BGL262126:BGU262126 BQH262126:BQQ262126 CAD262126:CAM262126 CJZ262126:CKI262126 CTV262126:CUE262126 DDR262126:DEA262126 DNN262126:DNW262126 DXJ262126:DXS262126 EHF262126:EHO262126 ERB262126:ERK262126 FAX262126:FBG262126 FKT262126:FLC262126 FUP262126:FUY262126 GEL262126:GEU262126 GOH262126:GOQ262126 GYD262126:GYM262126 HHZ262126:HII262126 HRV262126:HSE262126 IBR262126:ICA262126 ILN262126:ILW262126 IVJ262126:IVS262126 JFF262126:JFO262126 JPB262126:JPK262126 JYX262126:JZG262126 KIT262126:KJC262126 KSP262126:KSY262126 LCL262126:LCU262126 LMH262126:LMQ262126 LWD262126:LWM262126 MFZ262126:MGI262126 MPV262126:MQE262126 MZR262126:NAA262126 NJN262126:NJW262126 NTJ262126:NTS262126 ODF262126:ODO262126 ONB262126:ONK262126 OWX262126:OXG262126 PGT262126:PHC262126 PQP262126:PQY262126 QAL262126:QAU262126 QKH262126:QKQ262126 QUD262126:QUM262126 RDZ262126:REI262126 RNV262126:ROE262126 RXR262126:RYA262126 SHN262126:SHW262126 SRJ262126:SRS262126 TBF262126:TBO262126 TLB262126:TLK262126 TUX262126:TVG262126 UET262126:UFC262126 UOP262126:UOY262126 UYL262126:UYU262126 VIH262126:VIQ262126 VSD262126:VSM262126 WBZ262126:WCI262126 WLV262126:WME262126 WVR262126:WWA262126 J327662:S327662 JF327662:JO327662 TB327662:TK327662 ACX327662:ADG327662 AMT327662:ANC327662 AWP327662:AWY327662 BGL327662:BGU327662 BQH327662:BQQ327662 CAD327662:CAM327662 CJZ327662:CKI327662 CTV327662:CUE327662 DDR327662:DEA327662 DNN327662:DNW327662 DXJ327662:DXS327662 EHF327662:EHO327662 ERB327662:ERK327662 FAX327662:FBG327662 FKT327662:FLC327662 FUP327662:FUY327662 GEL327662:GEU327662 GOH327662:GOQ327662 GYD327662:GYM327662 HHZ327662:HII327662 HRV327662:HSE327662 IBR327662:ICA327662 ILN327662:ILW327662 IVJ327662:IVS327662 JFF327662:JFO327662 JPB327662:JPK327662 JYX327662:JZG327662 KIT327662:KJC327662 KSP327662:KSY327662 LCL327662:LCU327662 LMH327662:LMQ327662 LWD327662:LWM327662 MFZ327662:MGI327662 MPV327662:MQE327662 MZR327662:NAA327662 NJN327662:NJW327662 NTJ327662:NTS327662 ODF327662:ODO327662 ONB327662:ONK327662 OWX327662:OXG327662 PGT327662:PHC327662 PQP327662:PQY327662 QAL327662:QAU327662 QKH327662:QKQ327662 QUD327662:QUM327662 RDZ327662:REI327662 RNV327662:ROE327662 RXR327662:RYA327662 SHN327662:SHW327662 SRJ327662:SRS327662 TBF327662:TBO327662 TLB327662:TLK327662 TUX327662:TVG327662 UET327662:UFC327662 UOP327662:UOY327662 UYL327662:UYU327662 VIH327662:VIQ327662 VSD327662:VSM327662 WBZ327662:WCI327662 WLV327662:WME327662 WVR327662:WWA327662 J393198:S393198 JF393198:JO393198 TB393198:TK393198 ACX393198:ADG393198 AMT393198:ANC393198 AWP393198:AWY393198 BGL393198:BGU393198 BQH393198:BQQ393198 CAD393198:CAM393198 CJZ393198:CKI393198 CTV393198:CUE393198 DDR393198:DEA393198 DNN393198:DNW393198 DXJ393198:DXS393198 EHF393198:EHO393198 ERB393198:ERK393198 FAX393198:FBG393198 FKT393198:FLC393198 FUP393198:FUY393198 GEL393198:GEU393198 GOH393198:GOQ393198 GYD393198:GYM393198 HHZ393198:HII393198 HRV393198:HSE393198 IBR393198:ICA393198 ILN393198:ILW393198 IVJ393198:IVS393198 JFF393198:JFO393198 JPB393198:JPK393198 JYX393198:JZG393198 KIT393198:KJC393198 KSP393198:KSY393198 LCL393198:LCU393198 LMH393198:LMQ393198 LWD393198:LWM393198 MFZ393198:MGI393198 MPV393198:MQE393198 MZR393198:NAA393198 NJN393198:NJW393198 NTJ393198:NTS393198 ODF393198:ODO393198 ONB393198:ONK393198 OWX393198:OXG393198 PGT393198:PHC393198 PQP393198:PQY393198 QAL393198:QAU393198 QKH393198:QKQ393198 QUD393198:QUM393198 RDZ393198:REI393198 RNV393198:ROE393198 RXR393198:RYA393198 SHN393198:SHW393198 SRJ393198:SRS393198 TBF393198:TBO393198 TLB393198:TLK393198 TUX393198:TVG393198 UET393198:UFC393198 UOP393198:UOY393198 UYL393198:UYU393198 VIH393198:VIQ393198 VSD393198:VSM393198 WBZ393198:WCI393198 WLV393198:WME393198 WVR393198:WWA393198 J458734:S458734 JF458734:JO458734 TB458734:TK458734 ACX458734:ADG458734 AMT458734:ANC458734 AWP458734:AWY458734 BGL458734:BGU458734 BQH458734:BQQ458734 CAD458734:CAM458734 CJZ458734:CKI458734 CTV458734:CUE458734 DDR458734:DEA458734 DNN458734:DNW458734 DXJ458734:DXS458734 EHF458734:EHO458734 ERB458734:ERK458734 FAX458734:FBG458734 FKT458734:FLC458734 FUP458734:FUY458734 GEL458734:GEU458734 GOH458734:GOQ458734 GYD458734:GYM458734 HHZ458734:HII458734 HRV458734:HSE458734 IBR458734:ICA458734 ILN458734:ILW458734 IVJ458734:IVS458734 JFF458734:JFO458734 JPB458734:JPK458734 JYX458734:JZG458734 KIT458734:KJC458734 KSP458734:KSY458734 LCL458734:LCU458734 LMH458734:LMQ458734 LWD458734:LWM458734 MFZ458734:MGI458734 MPV458734:MQE458734 MZR458734:NAA458734 NJN458734:NJW458734 NTJ458734:NTS458734 ODF458734:ODO458734 ONB458734:ONK458734 OWX458734:OXG458734 PGT458734:PHC458734 PQP458734:PQY458734 QAL458734:QAU458734 QKH458734:QKQ458734 QUD458734:QUM458734 RDZ458734:REI458734 RNV458734:ROE458734 RXR458734:RYA458734 SHN458734:SHW458734 SRJ458734:SRS458734 TBF458734:TBO458734 TLB458734:TLK458734 TUX458734:TVG458734 UET458734:UFC458734 UOP458734:UOY458734 UYL458734:UYU458734 VIH458734:VIQ458734 VSD458734:VSM458734 WBZ458734:WCI458734 WLV458734:WME458734 WVR458734:WWA458734 J524270:S524270 JF524270:JO524270 TB524270:TK524270 ACX524270:ADG524270 AMT524270:ANC524270 AWP524270:AWY524270 BGL524270:BGU524270 BQH524270:BQQ524270 CAD524270:CAM524270 CJZ524270:CKI524270 CTV524270:CUE524270 DDR524270:DEA524270 DNN524270:DNW524270 DXJ524270:DXS524270 EHF524270:EHO524270 ERB524270:ERK524270 FAX524270:FBG524270 FKT524270:FLC524270 FUP524270:FUY524270 GEL524270:GEU524270 GOH524270:GOQ524270 GYD524270:GYM524270 HHZ524270:HII524270 HRV524270:HSE524270 IBR524270:ICA524270 ILN524270:ILW524270 IVJ524270:IVS524270 JFF524270:JFO524270 JPB524270:JPK524270 JYX524270:JZG524270 KIT524270:KJC524270 KSP524270:KSY524270 LCL524270:LCU524270 LMH524270:LMQ524270 LWD524270:LWM524270 MFZ524270:MGI524270 MPV524270:MQE524270 MZR524270:NAA524270 NJN524270:NJW524270 NTJ524270:NTS524270 ODF524270:ODO524270 ONB524270:ONK524270 OWX524270:OXG524270 PGT524270:PHC524270 PQP524270:PQY524270 QAL524270:QAU524270 QKH524270:QKQ524270 QUD524270:QUM524270 RDZ524270:REI524270 RNV524270:ROE524270 RXR524270:RYA524270 SHN524270:SHW524270 SRJ524270:SRS524270 TBF524270:TBO524270 TLB524270:TLK524270 TUX524270:TVG524270 UET524270:UFC524270 UOP524270:UOY524270 UYL524270:UYU524270 VIH524270:VIQ524270 VSD524270:VSM524270 WBZ524270:WCI524270 WLV524270:WME524270 WVR524270:WWA524270 J589806:S589806 JF589806:JO589806 TB589806:TK589806 ACX589806:ADG589806 AMT589806:ANC589806 AWP589806:AWY589806 BGL589806:BGU589806 BQH589806:BQQ589806 CAD589806:CAM589806 CJZ589806:CKI589806 CTV589806:CUE589806 DDR589806:DEA589806 DNN589806:DNW589806 DXJ589806:DXS589806 EHF589806:EHO589806 ERB589806:ERK589806 FAX589806:FBG589806 FKT589806:FLC589806 FUP589806:FUY589806 GEL589806:GEU589806 GOH589806:GOQ589806 GYD589806:GYM589806 HHZ589806:HII589806 HRV589806:HSE589806 IBR589806:ICA589806 ILN589806:ILW589806 IVJ589806:IVS589806 JFF589806:JFO589806 JPB589806:JPK589806 JYX589806:JZG589806 KIT589806:KJC589806 KSP589806:KSY589806 LCL589806:LCU589806 LMH589806:LMQ589806 LWD589806:LWM589806 MFZ589806:MGI589806 MPV589806:MQE589806 MZR589806:NAA589806 NJN589806:NJW589806 NTJ589806:NTS589806 ODF589806:ODO589806 ONB589806:ONK589806 OWX589806:OXG589806 PGT589806:PHC589806 PQP589806:PQY589806 QAL589806:QAU589806 QKH589806:QKQ589806 QUD589806:QUM589806 RDZ589806:REI589806 RNV589806:ROE589806 RXR589806:RYA589806 SHN589806:SHW589806 SRJ589806:SRS589806 TBF589806:TBO589806 TLB589806:TLK589806 TUX589806:TVG589806 UET589806:UFC589806 UOP589806:UOY589806 UYL589806:UYU589806 VIH589806:VIQ589806 VSD589806:VSM589806 WBZ589806:WCI589806 WLV589806:WME589806 WVR589806:WWA589806 J655342:S655342 JF655342:JO655342 TB655342:TK655342 ACX655342:ADG655342 AMT655342:ANC655342 AWP655342:AWY655342 BGL655342:BGU655342 BQH655342:BQQ655342 CAD655342:CAM655342 CJZ655342:CKI655342 CTV655342:CUE655342 DDR655342:DEA655342 DNN655342:DNW655342 DXJ655342:DXS655342 EHF655342:EHO655342 ERB655342:ERK655342 FAX655342:FBG655342 FKT655342:FLC655342 FUP655342:FUY655342 GEL655342:GEU655342 GOH655342:GOQ655342 GYD655342:GYM655342 HHZ655342:HII655342 HRV655342:HSE655342 IBR655342:ICA655342 ILN655342:ILW655342 IVJ655342:IVS655342 JFF655342:JFO655342 JPB655342:JPK655342 JYX655342:JZG655342 KIT655342:KJC655342 KSP655342:KSY655342 LCL655342:LCU655342 LMH655342:LMQ655342 LWD655342:LWM655342 MFZ655342:MGI655342 MPV655342:MQE655342 MZR655342:NAA655342 NJN655342:NJW655342 NTJ655342:NTS655342 ODF655342:ODO655342 ONB655342:ONK655342 OWX655342:OXG655342 PGT655342:PHC655342 PQP655342:PQY655342 QAL655342:QAU655342 QKH655342:QKQ655342 QUD655342:QUM655342 RDZ655342:REI655342 RNV655342:ROE655342 RXR655342:RYA655342 SHN655342:SHW655342 SRJ655342:SRS655342 TBF655342:TBO655342 TLB655342:TLK655342 TUX655342:TVG655342 UET655342:UFC655342 UOP655342:UOY655342 UYL655342:UYU655342 VIH655342:VIQ655342 VSD655342:VSM655342 WBZ655342:WCI655342 WLV655342:WME655342 WVR655342:WWA655342 J720878:S720878 JF720878:JO720878 TB720878:TK720878 ACX720878:ADG720878 AMT720878:ANC720878 AWP720878:AWY720878 BGL720878:BGU720878 BQH720878:BQQ720878 CAD720878:CAM720878 CJZ720878:CKI720878 CTV720878:CUE720878 DDR720878:DEA720878 DNN720878:DNW720878 DXJ720878:DXS720878 EHF720878:EHO720878 ERB720878:ERK720878 FAX720878:FBG720878 FKT720878:FLC720878 FUP720878:FUY720878 GEL720878:GEU720878 GOH720878:GOQ720878 GYD720878:GYM720878 HHZ720878:HII720878 HRV720878:HSE720878 IBR720878:ICA720878 ILN720878:ILW720878 IVJ720878:IVS720878 JFF720878:JFO720878 JPB720878:JPK720878 JYX720878:JZG720878 KIT720878:KJC720878 KSP720878:KSY720878 LCL720878:LCU720878 LMH720878:LMQ720878 LWD720878:LWM720878 MFZ720878:MGI720878 MPV720878:MQE720878 MZR720878:NAA720878 NJN720878:NJW720878 NTJ720878:NTS720878 ODF720878:ODO720878 ONB720878:ONK720878 OWX720878:OXG720878 PGT720878:PHC720878 PQP720878:PQY720878 QAL720878:QAU720878 QKH720878:QKQ720878 QUD720878:QUM720878 RDZ720878:REI720878 RNV720878:ROE720878 RXR720878:RYA720878 SHN720878:SHW720878 SRJ720878:SRS720878 TBF720878:TBO720878 TLB720878:TLK720878 TUX720878:TVG720878 UET720878:UFC720878 UOP720878:UOY720878 UYL720878:UYU720878 VIH720878:VIQ720878 VSD720878:VSM720878 WBZ720878:WCI720878 WLV720878:WME720878 WVR720878:WWA720878 J786414:S786414 JF786414:JO786414 TB786414:TK786414 ACX786414:ADG786414 AMT786414:ANC786414 AWP786414:AWY786414 BGL786414:BGU786414 BQH786414:BQQ786414 CAD786414:CAM786414 CJZ786414:CKI786414 CTV786414:CUE786414 DDR786414:DEA786414 DNN786414:DNW786414 DXJ786414:DXS786414 EHF786414:EHO786414 ERB786414:ERK786414 FAX786414:FBG786414 FKT786414:FLC786414 FUP786414:FUY786414 GEL786414:GEU786414 GOH786414:GOQ786414 GYD786414:GYM786414 HHZ786414:HII786414 HRV786414:HSE786414 IBR786414:ICA786414 ILN786414:ILW786414 IVJ786414:IVS786414 JFF786414:JFO786414 JPB786414:JPK786414 JYX786414:JZG786414 KIT786414:KJC786414 KSP786414:KSY786414 LCL786414:LCU786414 LMH786414:LMQ786414 LWD786414:LWM786414 MFZ786414:MGI786414 MPV786414:MQE786414 MZR786414:NAA786414 NJN786414:NJW786414 NTJ786414:NTS786414 ODF786414:ODO786414 ONB786414:ONK786414 OWX786414:OXG786414 PGT786414:PHC786414 PQP786414:PQY786414 QAL786414:QAU786414 QKH786414:QKQ786414 QUD786414:QUM786414 RDZ786414:REI786414 RNV786414:ROE786414 RXR786414:RYA786414 SHN786414:SHW786414 SRJ786414:SRS786414 TBF786414:TBO786414 TLB786414:TLK786414 TUX786414:TVG786414 UET786414:UFC786414 UOP786414:UOY786414 UYL786414:UYU786414 VIH786414:VIQ786414 VSD786414:VSM786414 WBZ786414:WCI786414 WLV786414:WME786414 WVR786414:WWA786414 J851950:S851950 JF851950:JO851950 TB851950:TK851950 ACX851950:ADG851950 AMT851950:ANC851950 AWP851950:AWY851950 BGL851950:BGU851950 BQH851950:BQQ851950 CAD851950:CAM851950 CJZ851950:CKI851950 CTV851950:CUE851950 DDR851950:DEA851950 DNN851950:DNW851950 DXJ851950:DXS851950 EHF851950:EHO851950 ERB851950:ERK851950 FAX851950:FBG851950 FKT851950:FLC851950 FUP851950:FUY851950 GEL851950:GEU851950 GOH851950:GOQ851950 GYD851950:GYM851950 HHZ851950:HII851950 HRV851950:HSE851950 IBR851950:ICA851950 ILN851950:ILW851950 IVJ851950:IVS851950 JFF851950:JFO851950 JPB851950:JPK851950 JYX851950:JZG851950 KIT851950:KJC851950 KSP851950:KSY851950 LCL851950:LCU851950 LMH851950:LMQ851950 LWD851950:LWM851950 MFZ851950:MGI851950 MPV851950:MQE851950 MZR851950:NAA851950 NJN851950:NJW851950 NTJ851950:NTS851950 ODF851950:ODO851950 ONB851950:ONK851950 OWX851950:OXG851950 PGT851950:PHC851950 PQP851950:PQY851950 QAL851950:QAU851950 QKH851950:QKQ851950 QUD851950:QUM851950 RDZ851950:REI851950 RNV851950:ROE851950 RXR851950:RYA851950 SHN851950:SHW851950 SRJ851950:SRS851950 TBF851950:TBO851950 TLB851950:TLK851950 TUX851950:TVG851950 UET851950:UFC851950 UOP851950:UOY851950 UYL851950:UYU851950 VIH851950:VIQ851950 VSD851950:VSM851950 WBZ851950:WCI851950 WLV851950:WME851950 WVR851950:WWA851950 J917486:S917486 JF917486:JO917486 TB917486:TK917486 ACX917486:ADG917486 AMT917486:ANC917486 AWP917486:AWY917486 BGL917486:BGU917486 BQH917486:BQQ917486 CAD917486:CAM917486 CJZ917486:CKI917486 CTV917486:CUE917486 DDR917486:DEA917486 DNN917486:DNW917486 DXJ917486:DXS917486 EHF917486:EHO917486 ERB917486:ERK917486 FAX917486:FBG917486 FKT917486:FLC917486 FUP917486:FUY917486 GEL917486:GEU917486 GOH917486:GOQ917486 GYD917486:GYM917486 HHZ917486:HII917486 HRV917486:HSE917486 IBR917486:ICA917486 ILN917486:ILW917486 IVJ917486:IVS917486 JFF917486:JFO917486 JPB917486:JPK917486 JYX917486:JZG917486 KIT917486:KJC917486 KSP917486:KSY917486 LCL917486:LCU917486 LMH917486:LMQ917486 LWD917486:LWM917486 MFZ917486:MGI917486 MPV917486:MQE917486 MZR917486:NAA917486 NJN917486:NJW917486 NTJ917486:NTS917486 ODF917486:ODO917486 ONB917486:ONK917486 OWX917486:OXG917486 PGT917486:PHC917486 PQP917486:PQY917486 QAL917486:QAU917486 QKH917486:QKQ917486 QUD917486:QUM917486 RDZ917486:REI917486 RNV917486:ROE917486 RXR917486:RYA917486 SHN917486:SHW917486 SRJ917486:SRS917486 TBF917486:TBO917486 TLB917486:TLK917486 TUX917486:TVG917486 UET917486:UFC917486 UOP917486:UOY917486 UYL917486:UYU917486 VIH917486:VIQ917486 VSD917486:VSM917486 WBZ917486:WCI917486 WLV917486:WME917486 WVR917486:WWA917486 J983022:S983022 JF983022:JO983022 TB983022:TK983022 ACX983022:ADG983022 AMT983022:ANC983022 AWP983022:AWY983022 BGL983022:BGU983022 BQH983022:BQQ983022 CAD983022:CAM983022 CJZ983022:CKI983022 CTV983022:CUE983022 DDR983022:DEA983022 DNN983022:DNW983022 DXJ983022:DXS983022 EHF983022:EHO983022 ERB983022:ERK983022 FAX983022:FBG983022 FKT983022:FLC983022 FUP983022:FUY983022 GEL983022:GEU983022 GOH983022:GOQ983022 GYD983022:GYM983022 HHZ983022:HII983022 HRV983022:HSE983022 IBR983022:ICA983022 ILN983022:ILW983022 IVJ983022:IVS983022 JFF983022:JFO983022 JPB983022:JPK983022 JYX983022:JZG983022 KIT983022:KJC983022 KSP983022:KSY983022 LCL983022:LCU983022 LMH983022:LMQ983022 LWD983022:LWM983022 MFZ983022:MGI983022 MPV983022:MQE983022 MZR983022:NAA983022 NJN983022:NJW983022 NTJ983022:NTS983022 ODF983022:ODO983022 ONB983022:ONK983022 OWX983022:OXG983022 PGT983022:PHC983022 PQP983022:PQY983022 QAL983022:QAU983022 QKH983022:QKQ983022 QUD983022:QUM983022 RDZ983022:REI983022 RNV983022:ROE983022 RXR983022:RYA983022 SHN983022:SHW983022 SRJ983022:SRS983022 TBF983022:TBO983022 TLB983022:TLK983022 TUX983022:TVG983022 UET983022:UFC983022 UOP983022:UOY983022 UYL983022:UYU983022 VIH983022:VIQ983022 VSD983022:VSM983022 WBZ983022:WCI983022 WLV983022:WME983022 WVR983022:WWA983022 J65558:S65558 JF65558:JO65558 TB65558:TK65558 ACX65558:ADG65558 AMT65558:ANC65558 AWP65558:AWY65558 BGL65558:BGU65558 BQH65558:BQQ65558 CAD65558:CAM65558 CJZ65558:CKI65558 CTV65558:CUE65558 DDR65558:DEA65558 DNN65558:DNW65558 DXJ65558:DXS65558 EHF65558:EHO65558 ERB65558:ERK65558 FAX65558:FBG65558 FKT65558:FLC65558 FUP65558:FUY65558 GEL65558:GEU65558 GOH65558:GOQ65558 GYD65558:GYM65558 HHZ65558:HII65558 HRV65558:HSE65558 IBR65558:ICA65558 ILN65558:ILW65558 IVJ65558:IVS65558 JFF65558:JFO65558 JPB65558:JPK65558 JYX65558:JZG65558 KIT65558:KJC65558 KSP65558:KSY65558 LCL65558:LCU65558 LMH65558:LMQ65558 LWD65558:LWM65558 MFZ65558:MGI65558 MPV65558:MQE65558 MZR65558:NAA65558 NJN65558:NJW65558 NTJ65558:NTS65558 ODF65558:ODO65558 ONB65558:ONK65558 OWX65558:OXG65558 PGT65558:PHC65558 PQP65558:PQY65558 QAL65558:QAU65558 QKH65558:QKQ65558 QUD65558:QUM65558 RDZ65558:REI65558 RNV65558:ROE65558 RXR65558:RYA65558 SHN65558:SHW65558 SRJ65558:SRS65558 TBF65558:TBO65558 TLB65558:TLK65558 TUX65558:TVG65558 UET65558:UFC65558 UOP65558:UOY65558 UYL65558:UYU65558 VIH65558:VIQ65558 VSD65558:VSM65558 WBZ65558:WCI65558 WLV65558:WME65558 WVR65558:WWA65558 J131094:S131094 JF131094:JO131094 TB131094:TK131094 ACX131094:ADG131094 AMT131094:ANC131094 AWP131094:AWY131094 BGL131094:BGU131094 BQH131094:BQQ131094 CAD131094:CAM131094 CJZ131094:CKI131094 CTV131094:CUE131094 DDR131094:DEA131094 DNN131094:DNW131094 DXJ131094:DXS131094 EHF131094:EHO131094 ERB131094:ERK131094 FAX131094:FBG131094 FKT131094:FLC131094 FUP131094:FUY131094 GEL131094:GEU131094 GOH131094:GOQ131094 GYD131094:GYM131094 HHZ131094:HII131094 HRV131094:HSE131094 IBR131094:ICA131094 ILN131094:ILW131094 IVJ131094:IVS131094 JFF131094:JFO131094 JPB131094:JPK131094 JYX131094:JZG131094 KIT131094:KJC131094 KSP131094:KSY131094 LCL131094:LCU131094 LMH131094:LMQ131094 LWD131094:LWM131094 MFZ131094:MGI131094 MPV131094:MQE131094 MZR131094:NAA131094 NJN131094:NJW131094 NTJ131094:NTS131094 ODF131094:ODO131094 ONB131094:ONK131094 OWX131094:OXG131094 PGT131094:PHC131094 PQP131094:PQY131094 QAL131094:QAU131094 QKH131094:QKQ131094 QUD131094:QUM131094 RDZ131094:REI131094 RNV131094:ROE131094 RXR131094:RYA131094 SHN131094:SHW131094 SRJ131094:SRS131094 TBF131094:TBO131094 TLB131094:TLK131094 TUX131094:TVG131094 UET131094:UFC131094 UOP131094:UOY131094 UYL131094:UYU131094 VIH131094:VIQ131094 VSD131094:VSM131094 WBZ131094:WCI131094 WLV131094:WME131094 WVR131094:WWA131094 J196630:S196630 JF196630:JO196630 TB196630:TK196630 ACX196630:ADG196630 AMT196630:ANC196630 AWP196630:AWY196630 BGL196630:BGU196630 BQH196630:BQQ196630 CAD196630:CAM196630 CJZ196630:CKI196630 CTV196630:CUE196630 DDR196630:DEA196630 DNN196630:DNW196630 DXJ196630:DXS196630 EHF196630:EHO196630 ERB196630:ERK196630 FAX196630:FBG196630 FKT196630:FLC196630 FUP196630:FUY196630 GEL196630:GEU196630 GOH196630:GOQ196630 GYD196630:GYM196630 HHZ196630:HII196630 HRV196630:HSE196630 IBR196630:ICA196630 ILN196630:ILW196630 IVJ196630:IVS196630 JFF196630:JFO196630 JPB196630:JPK196630 JYX196630:JZG196630 KIT196630:KJC196630 KSP196630:KSY196630 LCL196630:LCU196630 LMH196630:LMQ196630 LWD196630:LWM196630 MFZ196630:MGI196630 MPV196630:MQE196630 MZR196630:NAA196630 NJN196630:NJW196630 NTJ196630:NTS196630 ODF196630:ODO196630 ONB196630:ONK196630 OWX196630:OXG196630 PGT196630:PHC196630 PQP196630:PQY196630 QAL196630:QAU196630 QKH196630:QKQ196630 QUD196630:QUM196630 RDZ196630:REI196630 RNV196630:ROE196630 RXR196630:RYA196630 SHN196630:SHW196630 SRJ196630:SRS196630 TBF196630:TBO196630 TLB196630:TLK196630 TUX196630:TVG196630 UET196630:UFC196630 UOP196630:UOY196630 UYL196630:UYU196630 VIH196630:VIQ196630 VSD196630:VSM196630 WBZ196630:WCI196630 WLV196630:WME196630 WVR196630:WWA196630 J262166:S262166 JF262166:JO262166 TB262166:TK262166 ACX262166:ADG262166 AMT262166:ANC262166 AWP262166:AWY262166 BGL262166:BGU262166 BQH262166:BQQ262166 CAD262166:CAM262166 CJZ262166:CKI262166 CTV262166:CUE262166 DDR262166:DEA262166 DNN262166:DNW262166 DXJ262166:DXS262166 EHF262166:EHO262166 ERB262166:ERK262166 FAX262166:FBG262166 FKT262166:FLC262166 FUP262166:FUY262166 GEL262166:GEU262166 GOH262166:GOQ262166 GYD262166:GYM262166 HHZ262166:HII262166 HRV262166:HSE262166 IBR262166:ICA262166 ILN262166:ILW262166 IVJ262166:IVS262166 JFF262166:JFO262166 JPB262166:JPK262166 JYX262166:JZG262166 KIT262166:KJC262166 KSP262166:KSY262166 LCL262166:LCU262166 LMH262166:LMQ262166 LWD262166:LWM262166 MFZ262166:MGI262166 MPV262166:MQE262166 MZR262166:NAA262166 NJN262166:NJW262166 NTJ262166:NTS262166 ODF262166:ODO262166 ONB262166:ONK262166 OWX262166:OXG262166 PGT262166:PHC262166 PQP262166:PQY262166 QAL262166:QAU262166 QKH262166:QKQ262166 QUD262166:QUM262166 RDZ262166:REI262166 RNV262166:ROE262166 RXR262166:RYA262166 SHN262166:SHW262166 SRJ262166:SRS262166 TBF262166:TBO262166 TLB262166:TLK262166 TUX262166:TVG262166 UET262166:UFC262166 UOP262166:UOY262166 UYL262166:UYU262166 VIH262166:VIQ262166 VSD262166:VSM262166 WBZ262166:WCI262166 WLV262166:WME262166 WVR262166:WWA262166 J327702:S327702 JF327702:JO327702 TB327702:TK327702 ACX327702:ADG327702 AMT327702:ANC327702 AWP327702:AWY327702 BGL327702:BGU327702 BQH327702:BQQ327702 CAD327702:CAM327702 CJZ327702:CKI327702 CTV327702:CUE327702 DDR327702:DEA327702 DNN327702:DNW327702 DXJ327702:DXS327702 EHF327702:EHO327702 ERB327702:ERK327702 FAX327702:FBG327702 FKT327702:FLC327702 FUP327702:FUY327702 GEL327702:GEU327702 GOH327702:GOQ327702 GYD327702:GYM327702 HHZ327702:HII327702 HRV327702:HSE327702 IBR327702:ICA327702 ILN327702:ILW327702 IVJ327702:IVS327702 JFF327702:JFO327702 JPB327702:JPK327702 JYX327702:JZG327702 KIT327702:KJC327702 KSP327702:KSY327702 LCL327702:LCU327702 LMH327702:LMQ327702 LWD327702:LWM327702 MFZ327702:MGI327702 MPV327702:MQE327702 MZR327702:NAA327702 NJN327702:NJW327702 NTJ327702:NTS327702 ODF327702:ODO327702 ONB327702:ONK327702 OWX327702:OXG327702 PGT327702:PHC327702 PQP327702:PQY327702 QAL327702:QAU327702 QKH327702:QKQ327702 QUD327702:QUM327702 RDZ327702:REI327702 RNV327702:ROE327702 RXR327702:RYA327702 SHN327702:SHW327702 SRJ327702:SRS327702 TBF327702:TBO327702 TLB327702:TLK327702 TUX327702:TVG327702 UET327702:UFC327702 UOP327702:UOY327702 UYL327702:UYU327702 VIH327702:VIQ327702 VSD327702:VSM327702 WBZ327702:WCI327702 WLV327702:WME327702 WVR327702:WWA327702 J393238:S393238 JF393238:JO393238 TB393238:TK393238 ACX393238:ADG393238 AMT393238:ANC393238 AWP393238:AWY393238 BGL393238:BGU393238 BQH393238:BQQ393238 CAD393238:CAM393238 CJZ393238:CKI393238 CTV393238:CUE393238 DDR393238:DEA393238 DNN393238:DNW393238 DXJ393238:DXS393238 EHF393238:EHO393238 ERB393238:ERK393238 FAX393238:FBG393238 FKT393238:FLC393238 FUP393238:FUY393238 GEL393238:GEU393238 GOH393238:GOQ393238 GYD393238:GYM393238 HHZ393238:HII393238 HRV393238:HSE393238 IBR393238:ICA393238 ILN393238:ILW393238 IVJ393238:IVS393238 JFF393238:JFO393238 JPB393238:JPK393238 JYX393238:JZG393238 KIT393238:KJC393238 KSP393238:KSY393238 LCL393238:LCU393238 LMH393238:LMQ393238 LWD393238:LWM393238 MFZ393238:MGI393238 MPV393238:MQE393238 MZR393238:NAA393238 NJN393238:NJW393238 NTJ393238:NTS393238 ODF393238:ODO393238 ONB393238:ONK393238 OWX393238:OXG393238 PGT393238:PHC393238 PQP393238:PQY393238 QAL393238:QAU393238 QKH393238:QKQ393238 QUD393238:QUM393238 RDZ393238:REI393238 RNV393238:ROE393238 RXR393238:RYA393238 SHN393238:SHW393238 SRJ393238:SRS393238 TBF393238:TBO393238 TLB393238:TLK393238 TUX393238:TVG393238 UET393238:UFC393238 UOP393238:UOY393238 UYL393238:UYU393238 VIH393238:VIQ393238 VSD393238:VSM393238 WBZ393238:WCI393238 WLV393238:WME393238 WVR393238:WWA393238 J458774:S458774 JF458774:JO458774 TB458774:TK458774 ACX458774:ADG458774 AMT458774:ANC458774 AWP458774:AWY458774 BGL458774:BGU458774 BQH458774:BQQ458774 CAD458774:CAM458774 CJZ458774:CKI458774 CTV458774:CUE458774 DDR458774:DEA458774 DNN458774:DNW458774 DXJ458774:DXS458774 EHF458774:EHO458774 ERB458774:ERK458774 FAX458774:FBG458774 FKT458774:FLC458774 FUP458774:FUY458774 GEL458774:GEU458774 GOH458774:GOQ458774 GYD458774:GYM458774 HHZ458774:HII458774 HRV458774:HSE458774 IBR458774:ICA458774 ILN458774:ILW458774 IVJ458774:IVS458774 JFF458774:JFO458774 JPB458774:JPK458774 JYX458774:JZG458774 KIT458774:KJC458774 KSP458774:KSY458774 LCL458774:LCU458774 LMH458774:LMQ458774 LWD458774:LWM458774 MFZ458774:MGI458774 MPV458774:MQE458774 MZR458774:NAA458774 NJN458774:NJW458774 NTJ458774:NTS458774 ODF458774:ODO458774 ONB458774:ONK458774 OWX458774:OXG458774 PGT458774:PHC458774 PQP458774:PQY458774 QAL458774:QAU458774 QKH458774:QKQ458774 QUD458774:QUM458774 RDZ458774:REI458774 RNV458774:ROE458774 RXR458774:RYA458774 SHN458774:SHW458774 SRJ458774:SRS458774 TBF458774:TBO458774 TLB458774:TLK458774 TUX458774:TVG458774 UET458774:UFC458774 UOP458774:UOY458774 UYL458774:UYU458774 VIH458774:VIQ458774 VSD458774:VSM458774 WBZ458774:WCI458774 WLV458774:WME458774 WVR458774:WWA458774 J524310:S524310 JF524310:JO524310 TB524310:TK524310 ACX524310:ADG524310 AMT524310:ANC524310 AWP524310:AWY524310 BGL524310:BGU524310 BQH524310:BQQ524310 CAD524310:CAM524310 CJZ524310:CKI524310 CTV524310:CUE524310 DDR524310:DEA524310 DNN524310:DNW524310 DXJ524310:DXS524310 EHF524310:EHO524310 ERB524310:ERK524310 FAX524310:FBG524310 FKT524310:FLC524310 FUP524310:FUY524310 GEL524310:GEU524310 GOH524310:GOQ524310 GYD524310:GYM524310 HHZ524310:HII524310 HRV524310:HSE524310 IBR524310:ICA524310 ILN524310:ILW524310 IVJ524310:IVS524310 JFF524310:JFO524310 JPB524310:JPK524310 JYX524310:JZG524310 KIT524310:KJC524310 KSP524310:KSY524310 LCL524310:LCU524310 LMH524310:LMQ524310 LWD524310:LWM524310 MFZ524310:MGI524310 MPV524310:MQE524310 MZR524310:NAA524310 NJN524310:NJW524310 NTJ524310:NTS524310 ODF524310:ODO524310 ONB524310:ONK524310 OWX524310:OXG524310 PGT524310:PHC524310 PQP524310:PQY524310 QAL524310:QAU524310 QKH524310:QKQ524310 QUD524310:QUM524310 RDZ524310:REI524310 RNV524310:ROE524310 RXR524310:RYA524310 SHN524310:SHW524310 SRJ524310:SRS524310 TBF524310:TBO524310 TLB524310:TLK524310 TUX524310:TVG524310 UET524310:UFC524310 UOP524310:UOY524310 UYL524310:UYU524310 VIH524310:VIQ524310 VSD524310:VSM524310 WBZ524310:WCI524310 WLV524310:WME524310 WVR524310:WWA524310 J589846:S589846 JF589846:JO589846 TB589846:TK589846 ACX589846:ADG589846 AMT589846:ANC589846 AWP589846:AWY589846 BGL589846:BGU589846 BQH589846:BQQ589846 CAD589846:CAM589846 CJZ589846:CKI589846 CTV589846:CUE589846 DDR589846:DEA589846 DNN589846:DNW589846 DXJ589846:DXS589846 EHF589846:EHO589846 ERB589846:ERK589846 FAX589846:FBG589846 FKT589846:FLC589846 FUP589846:FUY589846 GEL589846:GEU589846 GOH589846:GOQ589846 GYD589846:GYM589846 HHZ589846:HII589846 HRV589846:HSE589846 IBR589846:ICA589846 ILN589846:ILW589846 IVJ589846:IVS589846 JFF589846:JFO589846 JPB589846:JPK589846 JYX589846:JZG589846 KIT589846:KJC589846 KSP589846:KSY589846 LCL589846:LCU589846 LMH589846:LMQ589846 LWD589846:LWM589846 MFZ589846:MGI589846 MPV589846:MQE589846 MZR589846:NAA589846 NJN589846:NJW589846 NTJ589846:NTS589846 ODF589846:ODO589846 ONB589846:ONK589846 OWX589846:OXG589846 PGT589846:PHC589846 PQP589846:PQY589846 QAL589846:QAU589846 QKH589846:QKQ589846 QUD589846:QUM589846 RDZ589846:REI589846 RNV589846:ROE589846 RXR589846:RYA589846 SHN589846:SHW589846 SRJ589846:SRS589846 TBF589846:TBO589846 TLB589846:TLK589846 TUX589846:TVG589846 UET589846:UFC589846 UOP589846:UOY589846 UYL589846:UYU589846 VIH589846:VIQ589846 VSD589846:VSM589846 WBZ589846:WCI589846 WLV589846:WME589846 WVR589846:WWA589846 J655382:S655382 JF655382:JO655382 TB655382:TK655382 ACX655382:ADG655382 AMT655382:ANC655382 AWP655382:AWY655382 BGL655382:BGU655382 BQH655382:BQQ655382 CAD655382:CAM655382 CJZ655382:CKI655382 CTV655382:CUE655382 DDR655382:DEA655382 DNN655382:DNW655382 DXJ655382:DXS655382 EHF655382:EHO655382 ERB655382:ERK655382 FAX655382:FBG655382 FKT655382:FLC655382 FUP655382:FUY655382 GEL655382:GEU655382 GOH655382:GOQ655382 GYD655382:GYM655382 HHZ655382:HII655382 HRV655382:HSE655382 IBR655382:ICA655382 ILN655382:ILW655382 IVJ655382:IVS655382 JFF655382:JFO655382 JPB655382:JPK655382 JYX655382:JZG655382 KIT655382:KJC655382 KSP655382:KSY655382 LCL655382:LCU655382 LMH655382:LMQ655382 LWD655382:LWM655382 MFZ655382:MGI655382 MPV655382:MQE655382 MZR655382:NAA655382 NJN655382:NJW655382 NTJ655382:NTS655382 ODF655382:ODO655382 ONB655382:ONK655382 OWX655382:OXG655382 PGT655382:PHC655382 PQP655382:PQY655382 QAL655382:QAU655382 QKH655382:QKQ655382 QUD655382:QUM655382 RDZ655382:REI655382 RNV655382:ROE655382 RXR655382:RYA655382 SHN655382:SHW655382 SRJ655382:SRS655382 TBF655382:TBO655382 TLB655382:TLK655382 TUX655382:TVG655382 UET655382:UFC655382 UOP655382:UOY655382 UYL655382:UYU655382 VIH655382:VIQ655382 VSD655382:VSM655382 WBZ655382:WCI655382 WLV655382:WME655382 WVR655382:WWA655382 J720918:S720918 JF720918:JO720918 TB720918:TK720918 ACX720918:ADG720918 AMT720918:ANC720918 AWP720918:AWY720918 BGL720918:BGU720918 BQH720918:BQQ720918 CAD720918:CAM720918 CJZ720918:CKI720918 CTV720918:CUE720918 DDR720918:DEA720918 DNN720918:DNW720918 DXJ720918:DXS720918 EHF720918:EHO720918 ERB720918:ERK720918 FAX720918:FBG720918 FKT720918:FLC720918 FUP720918:FUY720918 GEL720918:GEU720918 GOH720918:GOQ720918 GYD720918:GYM720918 HHZ720918:HII720918 HRV720918:HSE720918 IBR720918:ICA720918 ILN720918:ILW720918 IVJ720918:IVS720918 JFF720918:JFO720918 JPB720918:JPK720918 JYX720918:JZG720918 KIT720918:KJC720918 KSP720918:KSY720918 LCL720918:LCU720918 LMH720918:LMQ720918 LWD720918:LWM720918 MFZ720918:MGI720918 MPV720918:MQE720918 MZR720918:NAA720918 NJN720918:NJW720918 NTJ720918:NTS720918 ODF720918:ODO720918 ONB720918:ONK720918 OWX720918:OXG720918 PGT720918:PHC720918 PQP720918:PQY720918 QAL720918:QAU720918 QKH720918:QKQ720918 QUD720918:QUM720918 RDZ720918:REI720918 RNV720918:ROE720918 RXR720918:RYA720918 SHN720918:SHW720918 SRJ720918:SRS720918 TBF720918:TBO720918 TLB720918:TLK720918 TUX720918:TVG720918 UET720918:UFC720918 UOP720918:UOY720918 UYL720918:UYU720918 VIH720918:VIQ720918 VSD720918:VSM720918 WBZ720918:WCI720918 WLV720918:WME720918 WVR720918:WWA720918 J786454:S786454 JF786454:JO786454 TB786454:TK786454 ACX786454:ADG786454 AMT786454:ANC786454 AWP786454:AWY786454 BGL786454:BGU786454 BQH786454:BQQ786454 CAD786454:CAM786454 CJZ786454:CKI786454 CTV786454:CUE786454 DDR786454:DEA786454 DNN786454:DNW786454 DXJ786454:DXS786454 EHF786454:EHO786454 ERB786454:ERK786454 FAX786454:FBG786454 FKT786454:FLC786454 FUP786454:FUY786454 GEL786454:GEU786454 GOH786454:GOQ786454 GYD786454:GYM786454 HHZ786454:HII786454 HRV786454:HSE786454 IBR786454:ICA786454 ILN786454:ILW786454 IVJ786454:IVS786454 JFF786454:JFO786454 JPB786454:JPK786454 JYX786454:JZG786454 KIT786454:KJC786454 KSP786454:KSY786454 LCL786454:LCU786454 LMH786454:LMQ786454 LWD786454:LWM786454 MFZ786454:MGI786454 MPV786454:MQE786454 MZR786454:NAA786454 NJN786454:NJW786454 NTJ786454:NTS786454 ODF786454:ODO786454 ONB786454:ONK786454 OWX786454:OXG786454 PGT786454:PHC786454 PQP786454:PQY786454 QAL786454:QAU786454 QKH786454:QKQ786454 QUD786454:QUM786454 RDZ786454:REI786454 RNV786454:ROE786454 RXR786454:RYA786454 SHN786454:SHW786454 SRJ786454:SRS786454 TBF786454:TBO786454 TLB786454:TLK786454 TUX786454:TVG786454 UET786454:UFC786454 UOP786454:UOY786454 UYL786454:UYU786454 VIH786454:VIQ786454 VSD786454:VSM786454 WBZ786454:WCI786454 WLV786454:WME786454 WVR786454:WWA786454 J851990:S851990 JF851990:JO851990 TB851990:TK851990 ACX851990:ADG851990 AMT851990:ANC851990 AWP851990:AWY851990 BGL851990:BGU851990 BQH851990:BQQ851990 CAD851990:CAM851990 CJZ851990:CKI851990 CTV851990:CUE851990 DDR851990:DEA851990 DNN851990:DNW851990 DXJ851990:DXS851990 EHF851990:EHO851990 ERB851990:ERK851990 FAX851990:FBG851990 FKT851990:FLC851990 FUP851990:FUY851990 GEL851990:GEU851990 GOH851990:GOQ851990 GYD851990:GYM851990 HHZ851990:HII851990 HRV851990:HSE851990 IBR851990:ICA851990 ILN851990:ILW851990 IVJ851990:IVS851990 JFF851990:JFO851990 JPB851990:JPK851990 JYX851990:JZG851990 KIT851990:KJC851990 KSP851990:KSY851990 LCL851990:LCU851990 LMH851990:LMQ851990 LWD851990:LWM851990 MFZ851990:MGI851990 MPV851990:MQE851990 MZR851990:NAA851990 NJN851990:NJW851990 NTJ851990:NTS851990 ODF851990:ODO851990 ONB851990:ONK851990 OWX851990:OXG851990 PGT851990:PHC851990 PQP851990:PQY851990 QAL851990:QAU851990 QKH851990:QKQ851990 QUD851990:QUM851990 RDZ851990:REI851990 RNV851990:ROE851990 RXR851990:RYA851990 SHN851990:SHW851990 SRJ851990:SRS851990 TBF851990:TBO851990 TLB851990:TLK851990 TUX851990:TVG851990 UET851990:UFC851990 UOP851990:UOY851990 UYL851990:UYU851990 VIH851990:VIQ851990 VSD851990:VSM851990 WBZ851990:WCI851990 WLV851990:WME851990 WVR851990:WWA851990 J917526:S917526 JF917526:JO917526 TB917526:TK917526 ACX917526:ADG917526 AMT917526:ANC917526 AWP917526:AWY917526 BGL917526:BGU917526 BQH917526:BQQ917526 CAD917526:CAM917526 CJZ917526:CKI917526 CTV917526:CUE917526 DDR917526:DEA917526 DNN917526:DNW917526 DXJ917526:DXS917526 EHF917526:EHO917526 ERB917526:ERK917526 FAX917526:FBG917526 FKT917526:FLC917526 FUP917526:FUY917526 GEL917526:GEU917526 GOH917526:GOQ917526 GYD917526:GYM917526 HHZ917526:HII917526 HRV917526:HSE917526 IBR917526:ICA917526 ILN917526:ILW917526 IVJ917526:IVS917526 JFF917526:JFO917526 JPB917526:JPK917526 JYX917526:JZG917526 KIT917526:KJC917526 KSP917526:KSY917526 LCL917526:LCU917526 LMH917526:LMQ917526 LWD917526:LWM917526 MFZ917526:MGI917526 MPV917526:MQE917526 MZR917526:NAA917526 NJN917526:NJW917526 NTJ917526:NTS917526 ODF917526:ODO917526 ONB917526:ONK917526 OWX917526:OXG917526 PGT917526:PHC917526 PQP917526:PQY917526 QAL917526:QAU917526 QKH917526:QKQ917526 QUD917526:QUM917526 RDZ917526:REI917526 RNV917526:ROE917526 RXR917526:RYA917526 SHN917526:SHW917526 SRJ917526:SRS917526 TBF917526:TBO917526 TLB917526:TLK917526 TUX917526:TVG917526 UET917526:UFC917526 UOP917526:UOY917526 UYL917526:UYU917526 VIH917526:VIQ917526 VSD917526:VSM917526 WBZ917526:WCI917526 WLV917526:WME917526 WVR917526:WWA917526 J983062:S983062 JF983062:JO983062 TB983062:TK983062 ACX983062:ADG983062 AMT983062:ANC983062 AWP983062:AWY983062 BGL983062:BGU983062 BQH983062:BQQ983062 CAD983062:CAM983062 CJZ983062:CKI983062 CTV983062:CUE983062 DDR983062:DEA983062 DNN983062:DNW983062 DXJ983062:DXS983062 EHF983062:EHO983062 ERB983062:ERK983062 FAX983062:FBG983062 FKT983062:FLC983062 FUP983062:FUY983062 GEL983062:GEU983062 GOH983062:GOQ983062 GYD983062:GYM983062 HHZ983062:HII983062 HRV983062:HSE983062 IBR983062:ICA983062 ILN983062:ILW983062 IVJ983062:IVS983062 JFF983062:JFO983062 JPB983062:JPK983062 JYX983062:JZG983062 KIT983062:KJC983062 KSP983062:KSY983062 LCL983062:LCU983062 LMH983062:LMQ983062 LWD983062:LWM983062 MFZ983062:MGI983062 MPV983062:MQE983062 MZR983062:NAA983062 NJN983062:NJW983062 NTJ983062:NTS983062 ODF983062:ODO983062 ONB983062:ONK983062 OWX983062:OXG983062 PGT983062:PHC983062 PQP983062:PQY983062 QAL983062:QAU983062 QKH983062:QKQ983062 QUD983062:QUM983062 RDZ983062:REI983062 RNV983062:ROE983062 RXR983062:RYA983062 SHN983062:SHW983062 SRJ983062:SRS983062 TBF983062:TBO983062 TLB983062:TLK983062 TUX983062:TVG983062 UET983062:UFC983062 UOP983062:UOY983062 UYL983062:UYU983062 VIH983062:VIQ983062 VSD983062:VSM983062 WBZ983062:WCI983062 WLV983062:WME983062 WVR983062:WWA983062" xr:uid="{67E44EF9-A5AC-43B3-9811-930C6F1091F4}">
      <formula1>BDI.TipoObra</formula1>
      <formula2>0</formula2>
    </dataValidation>
  </dataValidations>
  <printOptions horizontalCentered="1"/>
  <pageMargins left="0.51181102362204722" right="0.51181102362204722" top="0.98425196850393704" bottom="0.78740157480314965" header="0.31496062992125984" footer="0.31496062992125984"/>
  <pageSetup paperSize="9" scale="85" orientation="portrait" verticalDpi="0" r:id="rId1"/>
  <headerFooter>
    <oddHeader>&amp;L&amp;G&amp;R&amp;G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2F50-5CD4-4517-A081-3D2BAB6513E3}">
  <dimension ref="A1:K88"/>
  <sheetViews>
    <sheetView workbookViewId="0">
      <selection activeCell="K11" sqref="K11"/>
    </sheetView>
  </sheetViews>
  <sheetFormatPr defaultColWidth="9.140625" defaultRowHeight="11.25" x14ac:dyDescent="0.2"/>
  <cols>
    <col min="1" max="1" width="8.5703125" style="117" customWidth="1"/>
    <col min="2" max="2" width="7.85546875" style="117" bestFit="1" customWidth="1"/>
    <col min="3" max="3" width="45.5703125" style="117" customWidth="1"/>
    <col min="4" max="4" width="9.28515625" style="117" bestFit="1" customWidth="1"/>
    <col min="5" max="5" width="10.7109375" style="117" customWidth="1"/>
    <col min="6" max="6" width="11.140625" style="117" bestFit="1" customWidth="1"/>
    <col min="7" max="7" width="12.42578125" style="117" customWidth="1"/>
    <col min="8" max="8" width="9.140625" style="117"/>
    <col min="9" max="9" width="6.5703125" style="117" customWidth="1"/>
    <col min="10" max="10" width="4.140625" style="117" customWidth="1"/>
    <col min="11" max="16384" width="9.140625" style="117"/>
  </cols>
  <sheetData>
    <row r="1" spans="1:9" x14ac:dyDescent="0.2">
      <c r="A1" s="1"/>
      <c r="B1" s="1"/>
      <c r="C1" s="1"/>
      <c r="D1" s="1"/>
      <c r="E1" s="2"/>
      <c r="F1" s="2"/>
      <c r="G1" s="2"/>
      <c r="H1" s="2"/>
      <c r="I1" s="2"/>
    </row>
    <row r="2" spans="1:9" ht="18" customHeight="1" x14ac:dyDescent="0.2">
      <c r="A2" s="424" t="s">
        <v>542</v>
      </c>
      <c r="B2" s="424"/>
      <c r="C2" s="424"/>
      <c r="D2" s="424"/>
      <c r="E2" s="424"/>
      <c r="F2" s="424"/>
      <c r="G2" s="424"/>
      <c r="H2" s="118"/>
      <c r="I2" s="118"/>
    </row>
    <row r="3" spans="1:9" x14ac:dyDescent="0.2">
      <c r="A3" s="1"/>
      <c r="B3" s="1"/>
      <c r="C3" s="1"/>
      <c r="D3" s="1"/>
      <c r="E3" s="2"/>
      <c r="F3" s="2"/>
      <c r="G3" s="2"/>
      <c r="H3" s="2"/>
      <c r="I3" s="2"/>
    </row>
    <row r="4" spans="1:9" x14ac:dyDescent="0.2">
      <c r="A4" s="3" t="s">
        <v>1</v>
      </c>
      <c r="B4" s="3"/>
      <c r="C4" s="4"/>
      <c r="D4" s="5"/>
      <c r="E4" s="6"/>
      <c r="F4" s="6"/>
      <c r="G4" s="6"/>
      <c r="H4" s="6"/>
      <c r="I4" s="6"/>
    </row>
    <row r="5" spans="1:9" x14ac:dyDescent="0.2">
      <c r="A5" s="3" t="s">
        <v>2</v>
      </c>
      <c r="B5" s="3"/>
      <c r="C5" s="3"/>
      <c r="D5" s="7"/>
      <c r="E5" s="8"/>
      <c r="F5" s="8"/>
      <c r="G5" s="8"/>
      <c r="H5" s="8"/>
      <c r="I5" s="8"/>
    </row>
    <row r="6" spans="1:9" x14ac:dyDescent="0.2">
      <c r="A6" s="3" t="s">
        <v>242</v>
      </c>
      <c r="B6" s="3"/>
      <c r="C6" s="4"/>
      <c r="D6" s="7"/>
      <c r="E6" s="8"/>
      <c r="F6" s="8"/>
      <c r="G6" s="8"/>
      <c r="H6" s="8"/>
      <c r="I6" s="8"/>
    </row>
    <row r="7" spans="1:9" x14ac:dyDescent="0.2">
      <c r="A7" s="3" t="s">
        <v>466</v>
      </c>
      <c r="B7" s="3"/>
      <c r="C7" s="4"/>
      <c r="D7" s="7"/>
      <c r="E7" s="8"/>
      <c r="F7" s="8"/>
      <c r="G7" s="8"/>
      <c r="H7" s="8"/>
      <c r="I7" s="8"/>
    </row>
    <row r="8" spans="1:9" x14ac:dyDescent="0.2">
      <c r="A8" s="10" t="s">
        <v>981</v>
      </c>
      <c r="B8" s="8"/>
      <c r="C8" s="8"/>
      <c r="D8" s="8"/>
      <c r="E8" s="8"/>
      <c r="F8" s="8"/>
      <c r="G8" s="8"/>
      <c r="H8" s="8"/>
      <c r="I8" s="8"/>
    </row>
    <row r="9" spans="1:9" x14ac:dyDescent="0.2">
      <c r="A9" s="10" t="s">
        <v>982</v>
      </c>
      <c r="B9" s="8"/>
      <c r="C9" s="8" t="s">
        <v>983</v>
      </c>
      <c r="D9" s="8"/>
      <c r="E9" s="8"/>
      <c r="F9" s="8"/>
      <c r="G9" s="8"/>
      <c r="H9" s="8"/>
      <c r="I9" s="8"/>
    </row>
    <row r="10" spans="1:9" x14ac:dyDescent="0.2">
      <c r="A10" s="10" t="s">
        <v>544</v>
      </c>
      <c r="B10" s="2"/>
      <c r="C10" s="8"/>
      <c r="D10" s="10" t="s">
        <v>243</v>
      </c>
      <c r="E10" s="8"/>
      <c r="F10" s="8"/>
      <c r="G10" s="8"/>
      <c r="H10" s="8"/>
      <c r="I10" s="8"/>
    </row>
    <row r="11" spans="1:9" ht="12" thickBot="1" x14ac:dyDescent="0.25">
      <c r="A11" s="10"/>
      <c r="B11" s="2"/>
      <c r="C11" s="8"/>
      <c r="D11" s="8"/>
      <c r="E11" s="8"/>
      <c r="F11" s="8"/>
      <c r="G11" s="8"/>
      <c r="H11" s="8"/>
      <c r="I11" s="8"/>
    </row>
    <row r="12" spans="1:9" ht="23.25" thickBot="1" x14ac:dyDescent="0.25">
      <c r="A12" s="119" t="s">
        <v>6</v>
      </c>
      <c r="B12" s="120" t="s">
        <v>545</v>
      </c>
      <c r="C12" s="121" t="s">
        <v>546</v>
      </c>
      <c r="D12" s="119" t="s">
        <v>9</v>
      </c>
      <c r="E12" s="119" t="s">
        <v>547</v>
      </c>
      <c r="F12" s="122" t="s">
        <v>7</v>
      </c>
      <c r="G12" s="122" t="s">
        <v>548</v>
      </c>
      <c r="H12" s="8"/>
      <c r="I12" s="8"/>
    </row>
    <row r="13" spans="1:9" ht="12" thickBot="1" x14ac:dyDescent="0.25">
      <c r="A13" s="496" t="s">
        <v>549</v>
      </c>
      <c r="B13" s="497"/>
      <c r="C13" s="123" t="s">
        <v>550</v>
      </c>
      <c r="D13" s="124" t="s">
        <v>9</v>
      </c>
      <c r="E13" s="125">
        <v>44650</v>
      </c>
      <c r="F13" s="126" t="s">
        <v>551</v>
      </c>
      <c r="G13" s="127">
        <f>SUM(G19:G20)</f>
        <v>43565.601714000004</v>
      </c>
      <c r="H13" s="8"/>
      <c r="I13" s="8"/>
    </row>
    <row r="14" spans="1:9" ht="22.5" x14ac:dyDescent="0.2">
      <c r="A14" s="128" t="s">
        <v>7</v>
      </c>
      <c r="B14" s="129" t="s">
        <v>6</v>
      </c>
      <c r="C14" s="130" t="s">
        <v>552</v>
      </c>
      <c r="D14" s="131" t="s">
        <v>9</v>
      </c>
      <c r="E14" s="131" t="s">
        <v>553</v>
      </c>
      <c r="F14" s="132" t="s">
        <v>554</v>
      </c>
      <c r="G14" s="133" t="s">
        <v>555</v>
      </c>
      <c r="H14" s="8"/>
      <c r="I14" s="8"/>
    </row>
    <row r="15" spans="1:9" ht="22.5" x14ac:dyDescent="0.2">
      <c r="A15" s="134" t="s">
        <v>551</v>
      </c>
      <c r="B15" s="135" t="s">
        <v>556</v>
      </c>
      <c r="C15" s="136" t="s">
        <v>557</v>
      </c>
      <c r="D15" s="137" t="s">
        <v>558</v>
      </c>
      <c r="E15" s="138">
        <f>(3*3*4)*6</f>
        <v>216</v>
      </c>
      <c r="F15" s="139">
        <v>106.15</v>
      </c>
      <c r="G15" s="140">
        <f>E15*F15</f>
        <v>22928.400000000001</v>
      </c>
      <c r="H15" s="8"/>
      <c r="I15" s="141"/>
    </row>
    <row r="16" spans="1:9" x14ac:dyDescent="0.2">
      <c r="A16" s="134" t="s">
        <v>551</v>
      </c>
      <c r="B16" s="135" t="s">
        <v>559</v>
      </c>
      <c r="C16" s="136" t="s">
        <v>560</v>
      </c>
      <c r="D16" s="137" t="s">
        <v>558</v>
      </c>
      <c r="E16" s="138">
        <f>(8.8*5*4)*2</f>
        <v>352</v>
      </c>
      <c r="F16" s="139">
        <v>26.28</v>
      </c>
      <c r="G16" s="140">
        <f t="shared" ref="G16:G17" si="0">E16*F16</f>
        <v>9250.5600000000013</v>
      </c>
      <c r="H16" s="8"/>
      <c r="I16" s="141"/>
    </row>
    <row r="17" spans="1:9" ht="22.5" x14ac:dyDescent="0.2">
      <c r="A17" s="134" t="s">
        <v>551</v>
      </c>
      <c r="B17" s="135" t="s">
        <v>561</v>
      </c>
      <c r="C17" s="136" t="s">
        <v>562</v>
      </c>
      <c r="D17" s="137" t="s">
        <v>563</v>
      </c>
      <c r="E17" s="138">
        <v>2</v>
      </c>
      <c r="F17" s="139">
        <v>2049.25</v>
      </c>
      <c r="G17" s="140">
        <f t="shared" si="0"/>
        <v>4098.5</v>
      </c>
      <c r="H17" s="8"/>
      <c r="I17" s="141"/>
    </row>
    <row r="18" spans="1:9" ht="12" thickBot="1" x14ac:dyDescent="0.25">
      <c r="A18" s="134"/>
      <c r="B18" s="135"/>
      <c r="C18" s="136"/>
      <c r="D18" s="137"/>
      <c r="E18" s="138"/>
      <c r="F18" s="142" t="s">
        <v>564</v>
      </c>
      <c r="G18" s="143">
        <f>SUM(G15:G17)</f>
        <v>36277.460000000006</v>
      </c>
      <c r="H18" s="8"/>
      <c r="I18" s="8"/>
    </row>
    <row r="19" spans="1:9" ht="12" thickBot="1" x14ac:dyDescent="0.25">
      <c r="A19" s="490" t="s">
        <v>565</v>
      </c>
      <c r="B19" s="491"/>
      <c r="C19" s="491"/>
      <c r="D19" s="491"/>
      <c r="E19" s="492"/>
      <c r="F19" s="144" t="s">
        <v>566</v>
      </c>
      <c r="G19" s="145">
        <f>SUM(G18)</f>
        <v>36277.460000000006</v>
      </c>
      <c r="H19" s="8"/>
      <c r="I19" s="8"/>
    </row>
    <row r="20" spans="1:9" ht="12" thickBot="1" x14ac:dyDescent="0.25">
      <c r="A20" s="493"/>
      <c r="B20" s="494"/>
      <c r="C20" s="494"/>
      <c r="D20" s="494"/>
      <c r="E20" s="495"/>
      <c r="F20" s="144" t="s">
        <v>567</v>
      </c>
      <c r="G20" s="145">
        <f>G19*20.09%</f>
        <v>7288.1417140000012</v>
      </c>
      <c r="H20" s="8"/>
      <c r="I20" s="8"/>
    </row>
    <row r="21" spans="1:9" ht="12" thickBot="1" x14ac:dyDescent="0.25">
      <c r="A21" s="3"/>
      <c r="B21" s="3"/>
      <c r="C21" s="4"/>
      <c r="D21" s="7"/>
      <c r="E21" s="8"/>
      <c r="F21" s="8"/>
      <c r="G21" s="8"/>
      <c r="H21" s="8"/>
      <c r="I21" s="8"/>
    </row>
    <row r="22" spans="1:9" ht="23.25" thickBot="1" x14ac:dyDescent="0.25">
      <c r="A22" s="119" t="s">
        <v>6</v>
      </c>
      <c r="B22" s="120" t="s">
        <v>568</v>
      </c>
      <c r="C22" s="121" t="s">
        <v>546</v>
      </c>
      <c r="D22" s="119" t="s">
        <v>9</v>
      </c>
      <c r="E22" s="119" t="s">
        <v>547</v>
      </c>
      <c r="F22" s="122" t="s">
        <v>7</v>
      </c>
      <c r="G22" s="122" t="s">
        <v>548</v>
      </c>
      <c r="H22" s="8"/>
      <c r="I22" s="8"/>
    </row>
    <row r="23" spans="1:9" ht="12" thickBot="1" x14ac:dyDescent="0.25">
      <c r="A23" s="496" t="s">
        <v>569</v>
      </c>
      <c r="B23" s="497"/>
      <c r="C23" s="123" t="s">
        <v>570</v>
      </c>
      <c r="D23" s="124" t="s">
        <v>571</v>
      </c>
      <c r="E23" s="125">
        <v>44650</v>
      </c>
      <c r="F23" s="126" t="s">
        <v>551</v>
      </c>
      <c r="G23" s="127">
        <f>SUM(G37:G38)</f>
        <v>404.63244690000005</v>
      </c>
      <c r="H23" s="8"/>
      <c r="I23" s="8"/>
    </row>
    <row r="24" spans="1:9" ht="22.5" x14ac:dyDescent="0.2">
      <c r="A24" s="128" t="s">
        <v>7</v>
      </c>
      <c r="B24" s="129" t="s">
        <v>6</v>
      </c>
      <c r="C24" s="130" t="s">
        <v>552</v>
      </c>
      <c r="D24" s="131" t="s">
        <v>9</v>
      </c>
      <c r="E24" s="131" t="s">
        <v>553</v>
      </c>
      <c r="F24" s="132" t="s">
        <v>554</v>
      </c>
      <c r="G24" s="133" t="s">
        <v>555</v>
      </c>
      <c r="H24" s="8"/>
      <c r="I24" s="8"/>
    </row>
    <row r="25" spans="1:9" ht="22.5" x14ac:dyDescent="0.2">
      <c r="A25" s="134" t="s">
        <v>572</v>
      </c>
      <c r="B25" s="135" t="s">
        <v>573</v>
      </c>
      <c r="C25" s="136" t="s">
        <v>574</v>
      </c>
      <c r="D25" s="137" t="s">
        <v>575</v>
      </c>
      <c r="E25" s="138">
        <v>1</v>
      </c>
      <c r="F25" s="139">
        <v>6.12</v>
      </c>
      <c r="G25" s="140">
        <f>E25*F25</f>
        <v>6.12</v>
      </c>
      <c r="H25" s="8"/>
      <c r="I25" s="8"/>
    </row>
    <row r="26" spans="1:9" ht="22.5" x14ac:dyDescent="0.2">
      <c r="A26" s="134" t="s">
        <v>572</v>
      </c>
      <c r="B26" s="135" t="s">
        <v>576</v>
      </c>
      <c r="C26" s="136" t="s">
        <v>577</v>
      </c>
      <c r="D26" s="137" t="s">
        <v>575</v>
      </c>
      <c r="E26" s="138">
        <v>4</v>
      </c>
      <c r="F26" s="139">
        <v>10.25</v>
      </c>
      <c r="G26" s="140">
        <f t="shared" ref="G26:G28" si="1">E26*F26</f>
        <v>41</v>
      </c>
      <c r="H26" s="8"/>
      <c r="I26" s="8"/>
    </row>
    <row r="27" spans="1:9" ht="22.5" x14ac:dyDescent="0.2">
      <c r="A27" s="134" t="s">
        <v>572</v>
      </c>
      <c r="B27" s="135" t="s">
        <v>578</v>
      </c>
      <c r="C27" s="136" t="s">
        <v>579</v>
      </c>
      <c r="D27" s="137" t="s">
        <v>580</v>
      </c>
      <c r="E27" s="138">
        <v>1</v>
      </c>
      <c r="F27" s="139">
        <v>225</v>
      </c>
      <c r="G27" s="140">
        <f t="shared" si="1"/>
        <v>225</v>
      </c>
      <c r="H27" s="8"/>
      <c r="I27" s="8"/>
    </row>
    <row r="28" spans="1:9" x14ac:dyDescent="0.2">
      <c r="A28" s="134" t="s">
        <v>572</v>
      </c>
      <c r="B28" s="135" t="s">
        <v>581</v>
      </c>
      <c r="C28" s="136" t="s">
        <v>582</v>
      </c>
      <c r="D28" s="137" t="s">
        <v>583</v>
      </c>
      <c r="E28" s="138">
        <v>0.11</v>
      </c>
      <c r="F28" s="139">
        <v>25.1</v>
      </c>
      <c r="G28" s="140">
        <f t="shared" si="1"/>
        <v>2.7610000000000001</v>
      </c>
      <c r="H28" s="8"/>
      <c r="I28" s="8"/>
    </row>
    <row r="29" spans="1:9" x14ac:dyDescent="0.2">
      <c r="A29" s="134"/>
      <c r="B29" s="135"/>
      <c r="C29" s="136"/>
      <c r="D29" s="137"/>
      <c r="E29" s="138"/>
      <c r="F29" s="142" t="s">
        <v>564</v>
      </c>
      <c r="G29" s="143">
        <f>SUM(G25:G28)</f>
        <v>274.88100000000003</v>
      </c>
      <c r="H29" s="8"/>
      <c r="I29" s="8"/>
    </row>
    <row r="30" spans="1:9" ht="22.5" x14ac:dyDescent="0.2">
      <c r="A30" s="146" t="s">
        <v>7</v>
      </c>
      <c r="B30" s="147" t="s">
        <v>6</v>
      </c>
      <c r="C30" s="148" t="s">
        <v>584</v>
      </c>
      <c r="D30" s="149" t="s">
        <v>9</v>
      </c>
      <c r="E30" s="149" t="s">
        <v>553</v>
      </c>
      <c r="F30" s="150" t="s">
        <v>554</v>
      </c>
      <c r="G30" s="151" t="s">
        <v>555</v>
      </c>
      <c r="H30" s="8"/>
      <c r="I30" s="8"/>
    </row>
    <row r="31" spans="1:9" ht="22.5" x14ac:dyDescent="0.2">
      <c r="A31" s="134" t="s">
        <v>551</v>
      </c>
      <c r="B31" s="152">
        <v>88262</v>
      </c>
      <c r="C31" s="153" t="s">
        <v>585</v>
      </c>
      <c r="D31" s="137" t="s">
        <v>586</v>
      </c>
      <c r="E31" s="154">
        <v>1</v>
      </c>
      <c r="F31" s="139">
        <v>22.3</v>
      </c>
      <c r="G31" s="140">
        <f>E31*F31</f>
        <v>22.3</v>
      </c>
      <c r="H31" s="8"/>
      <c r="I31" s="8"/>
    </row>
    <row r="32" spans="1:9" x14ac:dyDescent="0.2">
      <c r="A32" s="134" t="s">
        <v>551</v>
      </c>
      <c r="B32" s="152">
        <v>88316</v>
      </c>
      <c r="C32" s="153" t="s">
        <v>587</v>
      </c>
      <c r="D32" s="137" t="s">
        <v>586</v>
      </c>
      <c r="E32" s="154">
        <v>2</v>
      </c>
      <c r="F32" s="139">
        <v>18.190000000000001</v>
      </c>
      <c r="G32" s="140">
        <f>E32*F32</f>
        <v>36.380000000000003</v>
      </c>
      <c r="H32" s="8"/>
      <c r="I32" s="8"/>
    </row>
    <row r="33" spans="1:9" x14ac:dyDescent="0.2">
      <c r="A33" s="134"/>
      <c r="B33" s="152"/>
      <c r="C33" s="153"/>
      <c r="D33" s="137"/>
      <c r="E33" s="155"/>
      <c r="F33" s="156" t="s">
        <v>564</v>
      </c>
      <c r="G33" s="143">
        <f>SUM(G31:G32)</f>
        <v>58.680000000000007</v>
      </c>
      <c r="H33" s="8"/>
      <c r="I33" s="8"/>
    </row>
    <row r="34" spans="1:9" ht="22.5" x14ac:dyDescent="0.2">
      <c r="A34" s="146" t="s">
        <v>7</v>
      </c>
      <c r="B34" s="147" t="s">
        <v>6</v>
      </c>
      <c r="C34" s="148" t="s">
        <v>588</v>
      </c>
      <c r="D34" s="149" t="s">
        <v>9</v>
      </c>
      <c r="E34" s="149" t="s">
        <v>553</v>
      </c>
      <c r="F34" s="150" t="s">
        <v>554</v>
      </c>
      <c r="G34" s="151" t="s">
        <v>555</v>
      </c>
      <c r="H34" s="8"/>
      <c r="I34" s="8"/>
    </row>
    <row r="35" spans="1:9" ht="33.75" x14ac:dyDescent="0.2">
      <c r="A35" s="134" t="s">
        <v>551</v>
      </c>
      <c r="B35" s="152">
        <v>94962</v>
      </c>
      <c r="C35" s="153" t="s">
        <v>589</v>
      </c>
      <c r="D35" s="137" t="s">
        <v>590</v>
      </c>
      <c r="E35" s="154">
        <v>0.01</v>
      </c>
      <c r="F35" s="139">
        <v>338</v>
      </c>
      <c r="G35" s="140">
        <f>(E35*F35)</f>
        <v>3.38</v>
      </c>
      <c r="H35" s="8"/>
      <c r="I35" s="8"/>
    </row>
    <row r="36" spans="1:9" ht="12" thickBot="1" x14ac:dyDescent="0.25">
      <c r="A36" s="157"/>
      <c r="B36" s="158"/>
      <c r="C36" s="159"/>
      <c r="D36" s="160"/>
      <c r="E36" s="161"/>
      <c r="F36" s="162" t="s">
        <v>564</v>
      </c>
      <c r="G36" s="163">
        <f>SUM(G35:G35)</f>
        <v>3.38</v>
      </c>
      <c r="H36" s="8"/>
      <c r="I36" s="8"/>
    </row>
    <row r="37" spans="1:9" ht="10.9" customHeight="1" thickBot="1" x14ac:dyDescent="0.25">
      <c r="A37" s="490" t="s">
        <v>565</v>
      </c>
      <c r="B37" s="491"/>
      <c r="C37" s="491"/>
      <c r="D37" s="491"/>
      <c r="E37" s="492"/>
      <c r="F37" s="144" t="s">
        <v>566</v>
      </c>
      <c r="G37" s="145">
        <f>SUM(G29,G33,G36)</f>
        <v>336.94100000000003</v>
      </c>
      <c r="H37" s="8"/>
      <c r="I37" s="8"/>
    </row>
    <row r="38" spans="1:9" ht="12" thickBot="1" x14ac:dyDescent="0.25">
      <c r="A38" s="493"/>
      <c r="B38" s="494"/>
      <c r="C38" s="494"/>
      <c r="D38" s="494"/>
      <c r="E38" s="495"/>
      <c r="F38" s="144" t="s">
        <v>567</v>
      </c>
      <c r="G38" s="145">
        <f>G37*20.09%</f>
        <v>67.691446900000003</v>
      </c>
      <c r="H38" s="8"/>
      <c r="I38" s="8"/>
    </row>
    <row r="39" spans="1:9" x14ac:dyDescent="0.2">
      <c r="A39" s="3"/>
      <c r="B39" s="3"/>
      <c r="C39" s="4"/>
      <c r="D39" s="7"/>
      <c r="E39" s="8"/>
      <c r="F39" s="8"/>
      <c r="G39" s="8"/>
      <c r="H39" s="8"/>
      <c r="I39" s="8"/>
    </row>
    <row r="40" spans="1:9" ht="12" thickBot="1" x14ac:dyDescent="0.25"/>
    <row r="41" spans="1:9" ht="23.25" thickBot="1" x14ac:dyDescent="0.25">
      <c r="A41" s="119" t="s">
        <v>6</v>
      </c>
      <c r="B41" s="120" t="s">
        <v>591</v>
      </c>
      <c r="C41" s="121" t="s">
        <v>546</v>
      </c>
      <c r="D41" s="119" t="s">
        <v>9</v>
      </c>
      <c r="E41" s="119" t="s">
        <v>547</v>
      </c>
      <c r="F41" s="122" t="s">
        <v>7</v>
      </c>
      <c r="G41" s="122" t="s">
        <v>548</v>
      </c>
    </row>
    <row r="42" spans="1:9" ht="23.25" thickBot="1" x14ac:dyDescent="0.25">
      <c r="A42" s="496" t="s">
        <v>592</v>
      </c>
      <c r="B42" s="497"/>
      <c r="C42" s="123" t="s">
        <v>980</v>
      </c>
      <c r="D42" s="124" t="s">
        <v>593</v>
      </c>
      <c r="E42" s="125">
        <v>44650</v>
      </c>
      <c r="F42" s="126" t="s">
        <v>551</v>
      </c>
      <c r="G42" s="164">
        <f>SUM(G55:G56)</f>
        <v>128.78286476249997</v>
      </c>
    </row>
    <row r="43" spans="1:9" ht="22.5" x14ac:dyDescent="0.2">
      <c r="A43" s="128" t="s">
        <v>7</v>
      </c>
      <c r="B43" s="129" t="s">
        <v>6</v>
      </c>
      <c r="C43" s="130" t="s">
        <v>552</v>
      </c>
      <c r="D43" s="131" t="s">
        <v>9</v>
      </c>
      <c r="E43" s="131" t="s">
        <v>553</v>
      </c>
      <c r="F43" s="132" t="s">
        <v>554</v>
      </c>
      <c r="G43" s="133" t="s">
        <v>555</v>
      </c>
    </row>
    <row r="44" spans="1:9" ht="22.5" x14ac:dyDescent="0.2">
      <c r="A44" s="134" t="s">
        <v>572</v>
      </c>
      <c r="B44" s="135" t="s">
        <v>594</v>
      </c>
      <c r="C44" s="136" t="s">
        <v>595</v>
      </c>
      <c r="D44" s="137" t="s">
        <v>593</v>
      </c>
      <c r="E44" s="165">
        <v>1.25</v>
      </c>
      <c r="F44" s="139">
        <v>58.744999999999997</v>
      </c>
      <c r="G44" s="140">
        <f>E44*F44</f>
        <v>73.431249999999991</v>
      </c>
    </row>
    <row r="45" spans="1:9" x14ac:dyDescent="0.2">
      <c r="A45" s="134"/>
      <c r="B45" s="135"/>
      <c r="C45" s="136"/>
      <c r="D45" s="137"/>
      <c r="E45" s="165"/>
      <c r="F45" s="142" t="s">
        <v>564</v>
      </c>
      <c r="G45" s="143">
        <f>SUM(G44:G44)</f>
        <v>73.431249999999991</v>
      </c>
    </row>
    <row r="46" spans="1:9" ht="22.5" x14ac:dyDescent="0.2">
      <c r="A46" s="146" t="s">
        <v>7</v>
      </c>
      <c r="B46" s="147" t="s">
        <v>6</v>
      </c>
      <c r="C46" s="148" t="s">
        <v>596</v>
      </c>
      <c r="D46" s="149" t="s">
        <v>9</v>
      </c>
      <c r="E46" s="149" t="s">
        <v>553</v>
      </c>
      <c r="F46" s="150" t="s">
        <v>554</v>
      </c>
      <c r="G46" s="151" t="s">
        <v>555</v>
      </c>
    </row>
    <row r="47" spans="1:9" ht="56.25" x14ac:dyDescent="0.2">
      <c r="A47" s="134" t="s">
        <v>972</v>
      </c>
      <c r="B47" s="152">
        <v>5901</v>
      </c>
      <c r="C47" s="153" t="s">
        <v>973</v>
      </c>
      <c r="D47" s="137" t="s">
        <v>597</v>
      </c>
      <c r="E47" s="154">
        <v>6.0000000000000001E-3</v>
      </c>
      <c r="F47" s="139">
        <v>309</v>
      </c>
      <c r="G47" s="140">
        <f>E47*F47</f>
        <v>1.8540000000000001</v>
      </c>
    </row>
    <row r="48" spans="1:9" ht="56.25" x14ac:dyDescent="0.2">
      <c r="A48" s="134" t="s">
        <v>972</v>
      </c>
      <c r="B48" s="135" t="s">
        <v>974</v>
      </c>
      <c r="C48" s="136" t="s">
        <v>975</v>
      </c>
      <c r="D48" s="137" t="s">
        <v>598</v>
      </c>
      <c r="E48" s="138">
        <v>3.0000000000000001E-3</v>
      </c>
      <c r="F48" s="139">
        <v>60</v>
      </c>
      <c r="G48" s="140">
        <f t="shared" ref="G48:G50" si="2">E48*F48</f>
        <v>0.18</v>
      </c>
    </row>
    <row r="49" spans="1:7" ht="33.75" x14ac:dyDescent="0.2">
      <c r="A49" s="134" t="s">
        <v>972</v>
      </c>
      <c r="B49" s="135" t="s">
        <v>976</v>
      </c>
      <c r="C49" s="136" t="s">
        <v>977</v>
      </c>
      <c r="D49" s="137" t="s">
        <v>597</v>
      </c>
      <c r="E49" s="138">
        <v>0.27400000000000002</v>
      </c>
      <c r="F49" s="139">
        <v>41.41</v>
      </c>
      <c r="G49" s="140">
        <f t="shared" si="2"/>
        <v>11.34634</v>
      </c>
    </row>
    <row r="50" spans="1:7" ht="33.75" x14ac:dyDescent="0.2">
      <c r="A50" s="134" t="s">
        <v>972</v>
      </c>
      <c r="B50" s="135" t="s">
        <v>978</v>
      </c>
      <c r="C50" s="136" t="s">
        <v>979</v>
      </c>
      <c r="D50" s="137" t="s">
        <v>598</v>
      </c>
      <c r="E50" s="138">
        <v>0.254</v>
      </c>
      <c r="F50" s="139">
        <v>33.28</v>
      </c>
      <c r="G50" s="140">
        <f t="shared" si="2"/>
        <v>8.4531200000000002</v>
      </c>
    </row>
    <row r="51" spans="1:7" x14ac:dyDescent="0.2">
      <c r="A51" s="134"/>
      <c r="B51" s="135"/>
      <c r="C51" s="136"/>
      <c r="D51" s="137"/>
      <c r="E51" s="138"/>
      <c r="F51" s="142" t="s">
        <v>564</v>
      </c>
      <c r="G51" s="143">
        <f>SUM(G47:G50)</f>
        <v>21.833460000000002</v>
      </c>
    </row>
    <row r="52" spans="1:7" ht="22.5" x14ac:dyDescent="0.2">
      <c r="A52" s="146" t="s">
        <v>7</v>
      </c>
      <c r="B52" s="147" t="s">
        <v>6</v>
      </c>
      <c r="C52" s="148" t="s">
        <v>584</v>
      </c>
      <c r="D52" s="149" t="s">
        <v>9</v>
      </c>
      <c r="E52" s="149" t="s">
        <v>553</v>
      </c>
      <c r="F52" s="150" t="s">
        <v>554</v>
      </c>
      <c r="G52" s="151" t="s">
        <v>555</v>
      </c>
    </row>
    <row r="53" spans="1:7" x14ac:dyDescent="0.2">
      <c r="A53" s="134" t="s">
        <v>551</v>
      </c>
      <c r="B53" s="152">
        <v>88316</v>
      </c>
      <c r="C53" s="153" t="s">
        <v>599</v>
      </c>
      <c r="D53" s="137" t="s">
        <v>586</v>
      </c>
      <c r="E53" s="166">
        <v>0.65900000000000003</v>
      </c>
      <c r="F53" s="139">
        <v>18.184999999999999</v>
      </c>
      <c r="G53" s="140">
        <f t="shared" ref="G53" si="3">E53*F53</f>
        <v>11.983915</v>
      </c>
    </row>
    <row r="54" spans="1:7" ht="12" thickBot="1" x14ac:dyDescent="0.25">
      <c r="A54" s="157"/>
      <c r="B54" s="158"/>
      <c r="C54" s="159"/>
      <c r="D54" s="160"/>
      <c r="E54" s="161"/>
      <c r="F54" s="162" t="s">
        <v>564</v>
      </c>
      <c r="G54" s="163">
        <f>SUM(G53:G53)</f>
        <v>11.983915</v>
      </c>
    </row>
    <row r="55" spans="1:7" ht="12" thickBot="1" x14ac:dyDescent="0.25">
      <c r="A55" s="490" t="s">
        <v>565</v>
      </c>
      <c r="B55" s="491"/>
      <c r="C55" s="491"/>
      <c r="D55" s="491"/>
      <c r="E55" s="492"/>
      <c r="F55" s="144" t="s">
        <v>566</v>
      </c>
      <c r="G55" s="145">
        <f>SUM(G51,G54,G45)-0.01</f>
        <v>107.23862499999998</v>
      </c>
    </row>
    <row r="56" spans="1:7" ht="12" thickBot="1" x14ac:dyDescent="0.25">
      <c r="A56" s="493"/>
      <c r="B56" s="494"/>
      <c r="C56" s="494"/>
      <c r="D56" s="494"/>
      <c r="E56" s="495"/>
      <c r="F56" s="144" t="s">
        <v>567</v>
      </c>
      <c r="G56" s="145">
        <f>G55*20.09%</f>
        <v>21.544239762499995</v>
      </c>
    </row>
    <row r="57" spans="1:7" ht="12" thickBot="1" x14ac:dyDescent="0.25"/>
    <row r="58" spans="1:7" ht="23.25" thickBot="1" x14ac:dyDescent="0.25">
      <c r="A58" s="119" t="s">
        <v>6</v>
      </c>
      <c r="B58" s="120" t="s">
        <v>600</v>
      </c>
      <c r="C58" s="121" t="s">
        <v>546</v>
      </c>
      <c r="D58" s="119" t="s">
        <v>9</v>
      </c>
      <c r="E58" s="119" t="s">
        <v>547</v>
      </c>
      <c r="F58" s="122" t="s">
        <v>7</v>
      </c>
      <c r="G58" s="122" t="s">
        <v>548</v>
      </c>
    </row>
    <row r="59" spans="1:7" ht="45.75" thickBot="1" x14ac:dyDescent="0.25">
      <c r="A59" s="496" t="s">
        <v>601</v>
      </c>
      <c r="B59" s="497"/>
      <c r="C59" s="123" t="s">
        <v>655</v>
      </c>
      <c r="D59" s="124" t="s">
        <v>571</v>
      </c>
      <c r="E59" s="125">
        <v>44650</v>
      </c>
      <c r="F59" s="126" t="s">
        <v>551</v>
      </c>
      <c r="G59" s="164">
        <f>SUM(G73,G74)</f>
        <v>70.154440892750003</v>
      </c>
    </row>
    <row r="60" spans="1:7" ht="22.5" x14ac:dyDescent="0.2">
      <c r="A60" s="167" t="s">
        <v>7</v>
      </c>
      <c r="B60" s="168" t="s">
        <v>6</v>
      </c>
      <c r="C60" s="169" t="s">
        <v>602</v>
      </c>
      <c r="D60" s="170" t="s">
        <v>9</v>
      </c>
      <c r="E60" s="170" t="s">
        <v>553</v>
      </c>
      <c r="F60" s="171" t="s">
        <v>554</v>
      </c>
      <c r="G60" s="172" t="s">
        <v>555</v>
      </c>
    </row>
    <row r="61" spans="1:7" x14ac:dyDescent="0.2">
      <c r="A61" s="134" t="s">
        <v>572</v>
      </c>
      <c r="B61" s="173">
        <v>4741</v>
      </c>
      <c r="C61" s="174" t="s">
        <v>603</v>
      </c>
      <c r="D61" s="173" t="s">
        <v>590</v>
      </c>
      <c r="E61" s="175" t="s">
        <v>604</v>
      </c>
      <c r="F61" s="139">
        <v>71.599999999999994</v>
      </c>
      <c r="G61" s="140">
        <f>E61*F61</f>
        <v>8.1623999999999999</v>
      </c>
    </row>
    <row r="62" spans="1:7" ht="33.75" x14ac:dyDescent="0.2">
      <c r="A62" s="134" t="s">
        <v>572</v>
      </c>
      <c r="B62" s="173" t="s">
        <v>605</v>
      </c>
      <c r="C62" s="174" t="s">
        <v>606</v>
      </c>
      <c r="D62" s="173" t="s">
        <v>607</v>
      </c>
      <c r="E62" s="175" t="s">
        <v>608</v>
      </c>
      <c r="F62" s="139">
        <v>707.65</v>
      </c>
      <c r="G62" s="140">
        <f t="shared" ref="G62" si="4">E62*F62</f>
        <v>23.352450000000001</v>
      </c>
    </row>
    <row r="63" spans="1:7" x14ac:dyDescent="0.2">
      <c r="A63" s="134"/>
      <c r="B63" s="135"/>
      <c r="C63" s="136"/>
      <c r="D63" s="137"/>
      <c r="E63" s="165"/>
      <c r="F63" s="142" t="s">
        <v>564</v>
      </c>
      <c r="G63" s="143">
        <f>SUM(G61:G62)</f>
        <v>31.514850000000003</v>
      </c>
    </row>
    <row r="64" spans="1:7" ht="22.5" x14ac:dyDescent="0.2">
      <c r="A64" s="146" t="s">
        <v>7</v>
      </c>
      <c r="B64" s="147" t="s">
        <v>6</v>
      </c>
      <c r="C64" s="148" t="s">
        <v>584</v>
      </c>
      <c r="D64" s="149" t="s">
        <v>9</v>
      </c>
      <c r="E64" s="149" t="s">
        <v>553</v>
      </c>
      <c r="F64" s="150" t="s">
        <v>554</v>
      </c>
      <c r="G64" s="151" t="s">
        <v>555</v>
      </c>
    </row>
    <row r="65" spans="1:11" x14ac:dyDescent="0.2">
      <c r="A65" s="134" t="s">
        <v>972</v>
      </c>
      <c r="B65" s="173" t="s">
        <v>609</v>
      </c>
      <c r="C65" s="174" t="s">
        <v>610</v>
      </c>
      <c r="D65" s="173" t="s">
        <v>558</v>
      </c>
      <c r="E65" s="175" t="s">
        <v>611</v>
      </c>
      <c r="F65" s="139">
        <v>22.4</v>
      </c>
      <c r="G65" s="140">
        <f>E65*F65</f>
        <v>9.0070399999999999</v>
      </c>
    </row>
    <row r="66" spans="1:11" x14ac:dyDescent="0.2">
      <c r="A66" s="134" t="s">
        <v>972</v>
      </c>
      <c r="B66" s="173" t="s">
        <v>612</v>
      </c>
      <c r="C66" s="174" t="s">
        <v>599</v>
      </c>
      <c r="D66" s="173" t="s">
        <v>558</v>
      </c>
      <c r="E66" s="175" t="s">
        <v>611</v>
      </c>
      <c r="F66" s="139">
        <v>18.184999999999999</v>
      </c>
      <c r="G66" s="140">
        <f>E66*F66</f>
        <v>7.3121884999999995</v>
      </c>
    </row>
    <row r="67" spans="1:11" ht="12" thickBot="1" x14ac:dyDescent="0.25">
      <c r="A67" s="176"/>
      <c r="B67" s="177"/>
      <c r="C67" s="178"/>
      <c r="D67" s="179"/>
      <c r="E67" s="180"/>
      <c r="F67" s="162" t="s">
        <v>564</v>
      </c>
      <c r="G67" s="163">
        <f>SUM(G65:G66)</f>
        <v>16.319228500000001</v>
      </c>
    </row>
    <row r="68" spans="1:11" ht="22.5" x14ac:dyDescent="0.2">
      <c r="A68" s="146" t="s">
        <v>7</v>
      </c>
      <c r="B68" s="147" t="s">
        <v>6</v>
      </c>
      <c r="C68" s="148" t="s">
        <v>588</v>
      </c>
      <c r="D68" s="149" t="s">
        <v>9</v>
      </c>
      <c r="E68" s="149" t="s">
        <v>553</v>
      </c>
      <c r="F68" s="150" t="s">
        <v>554</v>
      </c>
      <c r="G68" s="151" t="s">
        <v>555</v>
      </c>
    </row>
    <row r="69" spans="1:11" ht="33.75" x14ac:dyDescent="0.2">
      <c r="A69" s="134" t="s">
        <v>972</v>
      </c>
      <c r="B69" s="173" t="s">
        <v>613</v>
      </c>
      <c r="C69" s="174" t="s">
        <v>614</v>
      </c>
      <c r="D69" s="173" t="s">
        <v>590</v>
      </c>
      <c r="E69" s="175" t="s">
        <v>615</v>
      </c>
      <c r="F69" s="139">
        <v>485.36</v>
      </c>
      <c r="G69" s="140">
        <f>E69*F69</f>
        <v>9.9013440000000017</v>
      </c>
    </row>
    <row r="70" spans="1:11" ht="33.75" x14ac:dyDescent="0.2">
      <c r="A70" s="176" t="s">
        <v>972</v>
      </c>
      <c r="B70" s="181">
        <v>95876</v>
      </c>
      <c r="C70" s="182" t="s">
        <v>616</v>
      </c>
      <c r="D70" s="181" t="s">
        <v>617</v>
      </c>
      <c r="E70" s="183" t="str">
        <f>E61</f>
        <v>0,1140000</v>
      </c>
      <c r="F70" s="139">
        <v>2.02</v>
      </c>
      <c r="G70" s="140">
        <f t="shared" ref="G70:G71" si="5">E70*F70</f>
        <v>0.23028000000000001</v>
      </c>
    </row>
    <row r="71" spans="1:11" ht="33.75" x14ac:dyDescent="0.2">
      <c r="A71" s="176" t="s">
        <v>972</v>
      </c>
      <c r="B71" s="181">
        <v>93598</v>
      </c>
      <c r="C71" s="182" t="s">
        <v>618</v>
      </c>
      <c r="D71" s="181" t="s">
        <v>619</v>
      </c>
      <c r="E71" s="184">
        <f>9.5*0.033</f>
        <v>0.3135</v>
      </c>
      <c r="F71" s="139">
        <v>1.47</v>
      </c>
      <c r="G71" s="140">
        <f t="shared" si="5"/>
        <v>0.460845</v>
      </c>
    </row>
    <row r="72" spans="1:11" ht="12" thickBot="1" x14ac:dyDescent="0.25">
      <c r="A72" s="157"/>
      <c r="B72" s="158"/>
      <c r="C72" s="159"/>
      <c r="D72" s="160"/>
      <c r="E72" s="161"/>
      <c r="F72" s="162" t="s">
        <v>564</v>
      </c>
      <c r="G72" s="163">
        <f>SUM(G69:G71)</f>
        <v>10.592469000000003</v>
      </c>
    </row>
    <row r="73" spans="1:11" ht="12" thickBot="1" x14ac:dyDescent="0.25">
      <c r="A73" s="490" t="s">
        <v>565</v>
      </c>
      <c r="B73" s="491"/>
      <c r="C73" s="491"/>
      <c r="D73" s="491"/>
      <c r="E73" s="492"/>
      <c r="F73" s="144" t="s">
        <v>566</v>
      </c>
      <c r="G73" s="145">
        <f>SUM(G63,G67,G72)</f>
        <v>58.426547500000005</v>
      </c>
    </row>
    <row r="74" spans="1:11" ht="12" thickBot="1" x14ac:dyDescent="0.25">
      <c r="A74" s="493"/>
      <c r="B74" s="494"/>
      <c r="C74" s="494"/>
      <c r="D74" s="494"/>
      <c r="E74" s="495"/>
      <c r="F74" s="144" t="s">
        <v>567</v>
      </c>
      <c r="G74" s="145">
        <f>(G73*20.09%)-0.01</f>
        <v>11.727893392750001</v>
      </c>
    </row>
    <row r="76" spans="1:11" s="318" customFormat="1" ht="12" x14ac:dyDescent="0.2">
      <c r="B76" s="398" t="s">
        <v>1104</v>
      </c>
      <c r="C76" s="399"/>
      <c r="D76" s="399"/>
      <c r="E76" s="399"/>
      <c r="F76" s="399"/>
      <c r="G76" s="400"/>
      <c r="H76" s="400"/>
      <c r="I76" s="401"/>
      <c r="J76" s="401"/>
      <c r="K76" s="401"/>
    </row>
    <row r="77" spans="1:11" s="318" customFormat="1" ht="12" x14ac:dyDescent="0.2">
      <c r="B77" s="402"/>
      <c r="C77" s="402"/>
      <c r="D77" s="402"/>
      <c r="E77" s="402"/>
      <c r="F77" s="402"/>
      <c r="G77" s="401"/>
      <c r="H77" s="401"/>
      <c r="I77" s="401"/>
      <c r="J77" s="401"/>
      <c r="K77" s="401"/>
    </row>
    <row r="78" spans="1:11" s="318" customFormat="1" ht="38.25" customHeight="1" x14ac:dyDescent="0.2">
      <c r="B78" s="489" t="s">
        <v>1136</v>
      </c>
      <c r="C78" s="489"/>
      <c r="D78" s="489"/>
      <c r="E78" s="489"/>
      <c r="F78" s="489"/>
      <c r="G78" s="489"/>
      <c r="H78" s="403"/>
      <c r="I78" s="403"/>
      <c r="J78" s="403"/>
      <c r="K78" s="403"/>
    </row>
    <row r="79" spans="1:11" s="318" customFormat="1" ht="12" x14ac:dyDescent="0.2">
      <c r="B79" s="404"/>
      <c r="C79" s="404"/>
      <c r="D79" s="404"/>
      <c r="E79" s="404"/>
      <c r="F79" s="404"/>
      <c r="G79" s="404"/>
      <c r="H79" s="403"/>
      <c r="I79" s="403"/>
      <c r="J79" s="403"/>
      <c r="K79" s="403"/>
    </row>
    <row r="80" spans="1:11" s="318" customFormat="1" ht="36" customHeight="1" x14ac:dyDescent="0.2">
      <c r="B80" s="489" t="s">
        <v>1137</v>
      </c>
      <c r="C80" s="489"/>
      <c r="D80" s="489"/>
      <c r="E80" s="489"/>
      <c r="F80" s="489"/>
      <c r="G80" s="489"/>
      <c r="H80" s="403"/>
      <c r="I80" s="403"/>
      <c r="J80" s="403"/>
      <c r="K80" s="403"/>
    </row>
    <row r="81" s="318" customFormat="1" ht="12" x14ac:dyDescent="0.2"/>
    <row r="82" s="318" customFormat="1" ht="12" x14ac:dyDescent="0.2"/>
    <row r="83" s="318" customFormat="1" ht="12" x14ac:dyDescent="0.2"/>
    <row r="84" s="318" customFormat="1" ht="12" x14ac:dyDescent="0.2"/>
    <row r="85" s="318" customFormat="1" ht="12" x14ac:dyDescent="0.2"/>
    <row r="86" s="318" customFormat="1" ht="12" x14ac:dyDescent="0.2"/>
    <row r="87" s="318" customFormat="1" ht="12" x14ac:dyDescent="0.2"/>
    <row r="88" s="318" customFormat="1" ht="12" x14ac:dyDescent="0.2"/>
  </sheetData>
  <mergeCells count="11">
    <mergeCell ref="A42:B42"/>
    <mergeCell ref="A2:G2"/>
    <mergeCell ref="A13:B13"/>
    <mergeCell ref="A19:E20"/>
    <mergeCell ref="A23:B23"/>
    <mergeCell ref="A37:E38"/>
    <mergeCell ref="B78:G78"/>
    <mergeCell ref="B80:G80"/>
    <mergeCell ref="A55:E56"/>
    <mergeCell ref="A59:B59"/>
    <mergeCell ref="A73:E74"/>
  </mergeCells>
  <conditionalFormatting sqref="C54">
    <cfRule type="expression" dxfId="33" priority="43" stopIfTrue="1">
      <formula>AND(#REF!&lt;&gt;"COMPOSICAO",#REF!&lt;&gt;"INSUMO",#REF!&lt;&gt;"")</formula>
    </cfRule>
    <cfRule type="expression" dxfId="32" priority="44" stopIfTrue="1">
      <formula>AND(OR(#REF!="COMPOSICAO",#REF!="INSUMO",#REF!&lt;&gt;""),#REF!&lt;&gt;"")</formula>
    </cfRule>
  </conditionalFormatting>
  <conditionalFormatting sqref="E53:E54">
    <cfRule type="expression" dxfId="31" priority="41" stopIfTrue="1">
      <formula>AND(#REF!&lt;&gt;"COMPOSICAO",#REF!&lt;&gt;"INSUMO",#REF!&lt;&gt;"")</formula>
    </cfRule>
    <cfRule type="expression" dxfId="30" priority="42" stopIfTrue="1">
      <formula>AND(OR(#REF!="COMPOSICAO",#REF!="INSUMO",#REF!&lt;&gt;""),#REF!&lt;&gt;"")</formula>
    </cfRule>
  </conditionalFormatting>
  <conditionalFormatting sqref="B54">
    <cfRule type="expression" dxfId="29" priority="39" stopIfTrue="1">
      <formula>AND(#REF!&lt;&gt;"COMPOSICAO",#REF!&lt;&gt;"INSUMO",#REF!&lt;&gt;"")</formula>
    </cfRule>
    <cfRule type="expression" dxfId="28" priority="40" stopIfTrue="1">
      <formula>AND(OR(#REF!="COMPOSICAO",#REF!="INSUMO",#REF!&lt;&gt;""),#REF!&lt;&gt;"")</formula>
    </cfRule>
  </conditionalFormatting>
  <conditionalFormatting sqref="B53">
    <cfRule type="expression" dxfId="27" priority="29" stopIfTrue="1">
      <formula>AND(#REF!&lt;&gt;"COMPOSICAO",#REF!&lt;&gt;"INSUMO",#REF!&lt;&gt;"")</formula>
    </cfRule>
    <cfRule type="expression" dxfId="26" priority="30" stopIfTrue="1">
      <formula>AND(OR(#REF!="COMPOSICAO",#REF!="INSUMO",#REF!&lt;&gt;""),#REF!&lt;&gt;"")</formula>
    </cfRule>
  </conditionalFormatting>
  <conditionalFormatting sqref="C53">
    <cfRule type="expression" dxfId="25" priority="31" stopIfTrue="1">
      <formula>AND(#REF!&lt;&gt;"COMPOSICAO",#REF!&lt;&gt;"INSUMO",#REF!&lt;&gt;"")</formula>
    </cfRule>
    <cfRule type="expression" dxfId="24" priority="32" stopIfTrue="1">
      <formula>AND(OR(#REF!="COMPOSICAO",#REF!="INSUMO",#REF!&lt;&gt;""),#REF!&lt;&gt;"")</formula>
    </cfRule>
  </conditionalFormatting>
  <conditionalFormatting sqref="B31:B33 B35:B36">
    <cfRule type="expression" dxfId="23" priority="23" stopIfTrue="1">
      <formula>AND(#REF!&lt;&gt;"COMPOSICAO",#REF!&lt;&gt;"INSUMO",#REF!&lt;&gt;"")</formula>
    </cfRule>
    <cfRule type="expression" dxfId="22" priority="24" stopIfTrue="1">
      <formula>AND(OR(#REF!="COMPOSICAO",#REF!="INSUMO",#REF!&lt;&gt;""),#REF!&lt;&gt;"")</formula>
    </cfRule>
  </conditionalFormatting>
  <conditionalFormatting sqref="C31:C33 C35:C36">
    <cfRule type="expression" dxfId="21" priority="27" stopIfTrue="1">
      <formula>AND(#REF!&lt;&gt;"COMPOSICAO",#REF!&lt;&gt;"INSUMO",#REF!&lt;&gt;"")</formula>
    </cfRule>
    <cfRule type="expression" dxfId="20" priority="28" stopIfTrue="1">
      <formula>AND(OR(#REF!="COMPOSICAO",#REF!="INSUMO",#REF!&lt;&gt;""),#REF!&lt;&gt;"")</formula>
    </cfRule>
  </conditionalFormatting>
  <conditionalFormatting sqref="E31:E33 E35:E36">
    <cfRule type="expression" dxfId="19" priority="25" stopIfTrue="1">
      <formula>AND(#REF!&lt;&gt;"COMPOSICAO",#REF!&lt;&gt;"INSUMO",#REF!&lt;&gt;"")</formula>
    </cfRule>
    <cfRule type="expression" dxfId="18" priority="26" stopIfTrue="1">
      <formula>AND(OR(#REF!="COMPOSICAO",#REF!="INSUMO",#REF!&lt;&gt;""),#REF!&lt;&gt;"")</formula>
    </cfRule>
  </conditionalFormatting>
  <conditionalFormatting sqref="C67">
    <cfRule type="expression" dxfId="17" priority="21" stopIfTrue="1">
      <formula>AND(#REF!&lt;&gt;"COMPOSICAO",#REF!&lt;&gt;"INSUMO",#REF!&lt;&gt;"")</formula>
    </cfRule>
    <cfRule type="expression" dxfId="16" priority="22" stopIfTrue="1">
      <formula>AND(OR(#REF!="COMPOSICAO",#REF!="INSUMO",#REF!&lt;&gt;""),#REF!&lt;&gt;"")</formula>
    </cfRule>
  </conditionalFormatting>
  <conditionalFormatting sqref="E67">
    <cfRule type="expression" dxfId="15" priority="19" stopIfTrue="1">
      <formula>AND(#REF!&lt;&gt;"COMPOSICAO",#REF!&lt;&gt;"INSUMO",#REF!&lt;&gt;"")</formula>
    </cfRule>
    <cfRule type="expression" dxfId="14" priority="20" stopIfTrue="1">
      <formula>AND(OR(#REF!="COMPOSICAO",#REF!="INSUMO",#REF!&lt;&gt;""),#REF!&lt;&gt;"")</formula>
    </cfRule>
  </conditionalFormatting>
  <conditionalFormatting sqref="B67">
    <cfRule type="expression" dxfId="13" priority="17" stopIfTrue="1">
      <formula>AND(#REF!&lt;&gt;"COMPOSICAO",#REF!&lt;&gt;"INSUMO",#REF!&lt;&gt;"")</formula>
    </cfRule>
    <cfRule type="expression" dxfId="12" priority="18" stopIfTrue="1">
      <formula>AND(OR(#REF!="COMPOSICAO",#REF!="INSUMO",#REF!&lt;&gt;""),#REF!&lt;&gt;"")</formula>
    </cfRule>
  </conditionalFormatting>
  <conditionalFormatting sqref="B47">
    <cfRule type="expression" dxfId="11" priority="11" stopIfTrue="1">
      <formula>AND(#REF!&lt;&gt;"COMPOSICAO",#REF!&lt;&gt;"INSUMO",#REF!&lt;&gt;"")</formula>
    </cfRule>
    <cfRule type="expression" dxfId="10" priority="12" stopIfTrue="1">
      <formula>AND(OR(#REF!="COMPOSICAO",#REF!="INSUMO",#REF!&lt;&gt;""),#REF!&lt;&gt;"")</formula>
    </cfRule>
  </conditionalFormatting>
  <conditionalFormatting sqref="C47">
    <cfRule type="expression" dxfId="9" priority="15" stopIfTrue="1">
      <formula>AND(#REF!&lt;&gt;"COMPOSICAO",#REF!&lt;&gt;"INSUMO",#REF!&lt;&gt;"")</formula>
    </cfRule>
    <cfRule type="expression" dxfId="8" priority="16" stopIfTrue="1">
      <formula>AND(OR(#REF!="COMPOSICAO",#REF!="INSUMO",#REF!&lt;&gt;""),#REF!&lt;&gt;"")</formula>
    </cfRule>
  </conditionalFormatting>
  <conditionalFormatting sqref="E47">
    <cfRule type="expression" dxfId="7" priority="13" stopIfTrue="1">
      <formula>AND(#REF!&lt;&gt;"COMPOSICAO",#REF!&lt;&gt;"INSUMO",#REF!&lt;&gt;"")</formula>
    </cfRule>
    <cfRule type="expression" dxfId="6" priority="14" stopIfTrue="1">
      <formula>AND(OR(#REF!="COMPOSICAO",#REF!="INSUMO",#REF!&lt;&gt;""),#REF!&lt;&gt;"")</formula>
    </cfRule>
  </conditionalFormatting>
  <conditionalFormatting sqref="B72">
    <cfRule type="expression" dxfId="5" priority="1" stopIfTrue="1">
      <formula>AND(#REF!&lt;&gt;"COMPOSICAO",#REF!&lt;&gt;"INSUMO",#REF!&lt;&gt;"")</formula>
    </cfRule>
    <cfRule type="expression" dxfId="4" priority="2" stopIfTrue="1">
      <formula>AND(OR(#REF!="COMPOSICAO",#REF!="INSUMO",#REF!&lt;&gt;""),#REF!&lt;&gt;"")</formula>
    </cfRule>
  </conditionalFormatting>
  <conditionalFormatting sqref="C72">
    <cfRule type="expression" dxfId="3" priority="5" stopIfTrue="1">
      <formula>AND(#REF!&lt;&gt;"COMPOSICAO",#REF!&lt;&gt;"INSUMO",#REF!&lt;&gt;"")</formula>
    </cfRule>
    <cfRule type="expression" dxfId="2" priority="6" stopIfTrue="1">
      <formula>AND(OR(#REF!="COMPOSICAO",#REF!="INSUMO",#REF!&lt;&gt;""),#REF!&lt;&gt;"")</formula>
    </cfRule>
  </conditionalFormatting>
  <conditionalFormatting sqref="E72">
    <cfRule type="expression" dxfId="1" priority="3" stopIfTrue="1">
      <formula>AND(#REF!&lt;&gt;"COMPOSICAO",#REF!&lt;&gt;"INSUMO",#REF!&lt;&gt;"")</formula>
    </cfRule>
    <cfRule type="expression" dxfId="0" priority="4" stopIfTrue="1">
      <formula>AND(OR(#REF!="COMPOSICAO",#REF!="INSUMO",#REF!&lt;&gt;""),#REF!&lt;&gt;"")</formula>
    </cfRule>
  </conditionalFormatting>
  <printOptions horizontalCentered="1"/>
  <pageMargins left="0.51181102362204722" right="0.51181102362204722" top="0.98425196850393704" bottom="0.78740157480314965" header="0.19685039370078741" footer="0.19685039370078741"/>
  <pageSetup paperSize="9" scale="85" orientation="portrait" verticalDpi="0" r:id="rId1"/>
  <headerFooter>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EEF9-9CA3-4F89-B9CF-642852639196}">
  <dimension ref="A2:L275"/>
  <sheetViews>
    <sheetView topLeftCell="A9" workbookViewId="0">
      <selection activeCell="L12" sqref="L12"/>
    </sheetView>
  </sheetViews>
  <sheetFormatPr defaultRowHeight="15" x14ac:dyDescent="0.25"/>
  <cols>
    <col min="1" max="1" width="10.42578125" style="195" bestFit="1" customWidth="1"/>
    <col min="2" max="2" width="11.7109375" style="195" bestFit="1" customWidth="1"/>
    <col min="3" max="3" width="9.7109375" style="195" customWidth="1"/>
    <col min="4" max="4" width="68.5703125" style="191" bestFit="1" customWidth="1"/>
    <col min="5" max="6" width="7.7109375" style="191" bestFit="1" customWidth="1"/>
    <col min="7" max="7" width="13.28515625" style="191" bestFit="1" customWidth="1"/>
    <col min="8" max="8" width="15.85546875" style="191" bestFit="1" customWidth="1"/>
    <col min="9" max="9" width="10" style="231" bestFit="1" customWidth="1"/>
    <col min="10" max="11" width="9.140625" style="191"/>
    <col min="12" max="12" width="10.5703125" style="191" bestFit="1" customWidth="1"/>
    <col min="13" max="16384" width="9.140625" style="191"/>
  </cols>
  <sheetData>
    <row r="2" spans="1:12" ht="18" x14ac:dyDescent="0.25">
      <c r="A2" s="508" t="s">
        <v>989</v>
      </c>
      <c r="B2" s="509"/>
      <c r="C2" s="509"/>
      <c r="D2" s="509"/>
      <c r="E2" s="509"/>
      <c r="F2" s="509"/>
      <c r="G2" s="509"/>
      <c r="H2" s="509"/>
      <c r="I2" s="510"/>
      <c r="J2" s="233"/>
      <c r="K2" s="234"/>
    </row>
    <row r="3" spans="1:12" x14ac:dyDescent="0.25">
      <c r="A3" s="1"/>
      <c r="B3" s="1"/>
      <c r="C3" s="1"/>
      <c r="D3" s="1"/>
      <c r="E3" s="2"/>
      <c r="F3" s="2"/>
      <c r="G3" s="2"/>
      <c r="H3" s="2"/>
      <c r="I3" s="2"/>
      <c r="J3" s="2"/>
      <c r="K3" s="3"/>
    </row>
    <row r="4" spans="1:12" x14ac:dyDescent="0.25">
      <c r="A4" s="212" t="s">
        <v>964</v>
      </c>
      <c r="B4" s="212"/>
      <c r="C4" s="192" t="s">
        <v>620</v>
      </c>
      <c r="D4" s="213"/>
      <c r="E4" s="214"/>
      <c r="F4" s="214"/>
      <c r="G4" s="215"/>
      <c r="H4" s="215"/>
      <c r="I4" s="215"/>
      <c r="J4" s="215"/>
      <c r="K4" s="212"/>
    </row>
    <row r="5" spans="1:12" x14ac:dyDescent="0.25">
      <c r="A5" s="212" t="s">
        <v>965</v>
      </c>
      <c r="B5" s="212"/>
      <c r="C5" s="212"/>
      <c r="D5" s="216"/>
      <c r="E5" s="220" t="s">
        <v>967</v>
      </c>
      <c r="F5" s="218"/>
      <c r="G5" s="215"/>
      <c r="H5" s="215"/>
      <c r="I5" s="215"/>
      <c r="J5" s="215"/>
      <c r="K5" s="212"/>
    </row>
    <row r="6" spans="1:12" x14ac:dyDescent="0.25">
      <c r="A6" s="212" t="s">
        <v>966</v>
      </c>
      <c r="B6" s="212"/>
      <c r="C6" s="219"/>
      <c r="D6" s="216"/>
      <c r="E6" s="224"/>
      <c r="F6" s="55"/>
      <c r="G6" s="215"/>
      <c r="H6" s="215"/>
      <c r="I6" s="215"/>
      <c r="J6" s="215"/>
      <c r="K6" s="212"/>
    </row>
    <row r="7" spans="1:12" x14ac:dyDescent="0.25">
      <c r="A7" s="212" t="s">
        <v>969</v>
      </c>
      <c r="B7" s="212"/>
      <c r="C7" s="191"/>
      <c r="E7" s="502" t="s">
        <v>970</v>
      </c>
      <c r="F7" s="502"/>
      <c r="G7" s="506" t="s">
        <v>971</v>
      </c>
      <c r="H7" s="506"/>
      <c r="I7" s="215"/>
      <c r="J7" s="215"/>
      <c r="K7" s="212"/>
    </row>
    <row r="8" spans="1:12" ht="45" customHeight="1" x14ac:dyDescent="0.25">
      <c r="B8" s="501" t="s">
        <v>992</v>
      </c>
      <c r="C8" s="501"/>
      <c r="D8" s="501"/>
      <c r="E8" s="505">
        <v>0.2009</v>
      </c>
      <c r="F8" s="505"/>
      <c r="G8" s="507" t="s">
        <v>621</v>
      </c>
      <c r="H8" s="507"/>
      <c r="I8" s="191"/>
    </row>
    <row r="9" spans="1:12" ht="15.75" thickBot="1" x14ac:dyDescent="0.3">
      <c r="A9" s="503"/>
      <c r="B9" s="504"/>
      <c r="C9" s="504"/>
      <c r="D9" s="504"/>
      <c r="E9" s="504"/>
      <c r="F9" s="504"/>
      <c r="G9" s="504"/>
      <c r="H9" s="504"/>
      <c r="I9" s="504"/>
    </row>
    <row r="10" spans="1:12" s="79" customFormat="1" ht="30.75" thickBot="1" x14ac:dyDescent="0.3">
      <c r="A10" s="254" t="s">
        <v>622</v>
      </c>
      <c r="B10" s="254" t="s">
        <v>623</v>
      </c>
      <c r="C10" s="254" t="s">
        <v>624</v>
      </c>
      <c r="D10" s="255" t="s">
        <v>625</v>
      </c>
      <c r="E10" s="254" t="s">
        <v>626</v>
      </c>
      <c r="F10" s="254" t="s">
        <v>627</v>
      </c>
      <c r="G10" s="254" t="s">
        <v>628</v>
      </c>
      <c r="H10" s="254" t="s">
        <v>629</v>
      </c>
      <c r="I10" s="254" t="s">
        <v>630</v>
      </c>
      <c r="L10" s="550"/>
    </row>
    <row r="11" spans="1:12" s="79" customFormat="1" x14ac:dyDescent="0.25">
      <c r="A11" s="199" t="s">
        <v>631</v>
      </c>
      <c r="B11" s="199"/>
      <c r="C11" s="199"/>
      <c r="D11" s="198" t="s">
        <v>16</v>
      </c>
      <c r="E11" s="198"/>
      <c r="F11" s="250"/>
      <c r="G11" s="251"/>
      <c r="H11" s="252">
        <v>43565.599999999999</v>
      </c>
      <c r="I11" s="253">
        <v>1.2033652462561563E-2</v>
      </c>
      <c r="L11" s="550">
        <f>SUM(F19,F24,F29,F34,F39,F44,F49,F54,F60,F66,F76,F81,F87,F92,F97,F102,F108,F113,F118,F123,F128,F133,F138,F143,F148,F153,F159,F164,F169,F174,F179,F184,F190,F195,F200,F205,F210,F215,F220,F225,F230,F235,F240,F245,F250,F256,F261,F266)</f>
        <v>12035.480000000001</v>
      </c>
    </row>
    <row r="12" spans="1:12" s="88" customFormat="1" x14ac:dyDescent="0.25">
      <c r="A12" s="240" t="s">
        <v>632</v>
      </c>
      <c r="B12" s="240" t="s">
        <v>633</v>
      </c>
      <c r="C12" s="240" t="s">
        <v>986</v>
      </c>
      <c r="D12" s="241" t="s">
        <v>634</v>
      </c>
      <c r="E12" s="240" t="s">
        <v>14</v>
      </c>
      <c r="F12" s="242">
        <v>1</v>
      </c>
      <c r="G12" s="243">
        <v>43565.599999999999</v>
      </c>
      <c r="H12" s="243">
        <v>43565.599999999999</v>
      </c>
      <c r="I12" s="244">
        <v>1.2033652462561563E-2</v>
      </c>
      <c r="L12" s="551">
        <f>SUM(F21,F26,F31,F36,F41,F46,F51,F56,F62,F68,F78,F83,F89,F94,F99,F104,F110,F115,F120,F125,F130,F135,F140,F145,F150,F155,F161,F166,F171,F176,F181,F186,F192,F197,F202,F207,F212,F217,F222,F227,F232,F237,F242,F247,F252,F258,F263,F268)</f>
        <v>38258.49</v>
      </c>
    </row>
    <row r="13" spans="1:12" s="79" customFormat="1" x14ac:dyDescent="0.25">
      <c r="A13" s="196" t="s">
        <v>635</v>
      </c>
      <c r="B13" s="196"/>
      <c r="C13" s="196"/>
      <c r="D13" s="235" t="s">
        <v>23</v>
      </c>
      <c r="E13" s="235"/>
      <c r="F13" s="236"/>
      <c r="G13" s="237"/>
      <c r="H13" s="238">
        <v>2427.7800000000002</v>
      </c>
      <c r="I13" s="239">
        <v>6.7059929796806908E-4</v>
      </c>
      <c r="L13" s="550"/>
    </row>
    <row r="14" spans="1:12" s="88" customFormat="1" x14ac:dyDescent="0.25">
      <c r="A14" s="240" t="s">
        <v>636</v>
      </c>
      <c r="B14" s="240" t="s">
        <v>637</v>
      </c>
      <c r="C14" s="240" t="s">
        <v>986</v>
      </c>
      <c r="D14" s="241" t="s">
        <v>638</v>
      </c>
      <c r="E14" s="240" t="s">
        <v>571</v>
      </c>
      <c r="F14" s="242">
        <v>6</v>
      </c>
      <c r="G14" s="243">
        <v>404.63</v>
      </c>
      <c r="H14" s="243">
        <v>2427.7800000000002</v>
      </c>
      <c r="I14" s="244">
        <v>6.7059929796806908E-4</v>
      </c>
      <c r="L14" s="551"/>
    </row>
    <row r="15" spans="1:12" s="79" customFormat="1" x14ac:dyDescent="0.25">
      <c r="A15" s="196" t="s">
        <v>639</v>
      </c>
      <c r="B15" s="196"/>
      <c r="C15" s="196"/>
      <c r="D15" s="235" t="s">
        <v>35</v>
      </c>
      <c r="E15" s="235"/>
      <c r="F15" s="236"/>
      <c r="G15" s="237"/>
      <c r="H15" s="238">
        <v>3574320.58</v>
      </c>
      <c r="I15" s="239">
        <v>0.98729574823947042</v>
      </c>
      <c r="L15" s="550"/>
    </row>
    <row r="16" spans="1:12" s="79" customFormat="1" ht="25.5" x14ac:dyDescent="0.25">
      <c r="A16" s="196" t="s">
        <v>640</v>
      </c>
      <c r="B16" s="196"/>
      <c r="C16" s="196"/>
      <c r="D16" s="235" t="s">
        <v>641</v>
      </c>
      <c r="E16" s="235"/>
      <c r="F16" s="236"/>
      <c r="G16" s="237"/>
      <c r="H16" s="238">
        <v>429916.39</v>
      </c>
      <c r="I16" s="239">
        <v>0.11875113450105305</v>
      </c>
      <c r="L16" s="550"/>
    </row>
    <row r="17" spans="1:9" s="79" customFormat="1" x14ac:dyDescent="0.25">
      <c r="A17" s="196" t="s">
        <v>642</v>
      </c>
      <c r="B17" s="196"/>
      <c r="C17" s="196"/>
      <c r="D17" s="235" t="s">
        <v>643</v>
      </c>
      <c r="E17" s="235"/>
      <c r="F17" s="236"/>
      <c r="G17" s="237"/>
      <c r="H17" s="238">
        <v>128767.8</v>
      </c>
      <c r="I17" s="239">
        <v>3.5568130671186318E-2</v>
      </c>
    </row>
    <row r="18" spans="1:9" s="88" customFormat="1" x14ac:dyDescent="0.25">
      <c r="A18" s="240" t="s">
        <v>644</v>
      </c>
      <c r="B18" s="240" t="s">
        <v>645</v>
      </c>
      <c r="C18" s="240" t="s">
        <v>646</v>
      </c>
      <c r="D18" s="241" t="s">
        <v>985</v>
      </c>
      <c r="E18" s="240" t="s">
        <v>27</v>
      </c>
      <c r="F18" s="242">
        <v>1380</v>
      </c>
      <c r="G18" s="243">
        <v>1.1399999999999999</v>
      </c>
      <c r="H18" s="243">
        <v>1573.2</v>
      </c>
      <c r="I18" s="244">
        <v>4.3454794732775056E-4</v>
      </c>
    </row>
    <row r="19" spans="1:9" s="88" customFormat="1" ht="51" x14ac:dyDescent="0.25">
      <c r="A19" s="240" t="s">
        <v>647</v>
      </c>
      <c r="B19" s="240" t="s">
        <v>648</v>
      </c>
      <c r="C19" s="240" t="s">
        <v>551</v>
      </c>
      <c r="D19" s="241" t="s">
        <v>649</v>
      </c>
      <c r="E19" s="240" t="s">
        <v>575</v>
      </c>
      <c r="F19" s="242">
        <v>460</v>
      </c>
      <c r="G19" s="243">
        <v>58.26</v>
      </c>
      <c r="H19" s="243">
        <v>26799.599999999999</v>
      </c>
      <c r="I19" s="244">
        <v>7.4025624009692245E-3</v>
      </c>
    </row>
    <row r="20" spans="1:9" s="88" customFormat="1" ht="25.5" x14ac:dyDescent="0.25">
      <c r="A20" s="240" t="s">
        <v>650</v>
      </c>
      <c r="B20" s="240" t="s">
        <v>651</v>
      </c>
      <c r="C20" s="240" t="s">
        <v>652</v>
      </c>
      <c r="D20" s="241" t="s">
        <v>984</v>
      </c>
      <c r="E20" s="240" t="s">
        <v>33</v>
      </c>
      <c r="F20" s="242">
        <v>460</v>
      </c>
      <c r="G20" s="243">
        <v>7.8</v>
      </c>
      <c r="H20" s="243">
        <v>3588</v>
      </c>
      <c r="I20" s="244">
        <v>9.9107426583522058E-4</v>
      </c>
    </row>
    <row r="21" spans="1:9" s="88" customFormat="1" ht="38.25" x14ac:dyDescent="0.25">
      <c r="A21" s="240" t="s">
        <v>653</v>
      </c>
      <c r="B21" s="240" t="s">
        <v>654</v>
      </c>
      <c r="C21" s="240" t="s">
        <v>986</v>
      </c>
      <c r="D21" s="241" t="s">
        <v>655</v>
      </c>
      <c r="E21" s="240" t="s">
        <v>571</v>
      </c>
      <c r="F21" s="242">
        <v>1380</v>
      </c>
      <c r="G21" s="243">
        <v>70.150000000000006</v>
      </c>
      <c r="H21" s="243">
        <v>96807</v>
      </c>
      <c r="I21" s="244">
        <v>2.6739946057054122E-2</v>
      </c>
    </row>
    <row r="22" spans="1:9" s="79" customFormat="1" x14ac:dyDescent="0.25">
      <c r="A22" s="196" t="s">
        <v>656</v>
      </c>
      <c r="B22" s="196"/>
      <c r="C22" s="196"/>
      <c r="D22" s="235" t="s">
        <v>657</v>
      </c>
      <c r="E22" s="235"/>
      <c r="F22" s="236"/>
      <c r="G22" s="237"/>
      <c r="H22" s="238">
        <v>32225.53</v>
      </c>
      <c r="I22" s="239">
        <v>8.9013081064383704E-3</v>
      </c>
    </row>
    <row r="23" spans="1:9" s="88" customFormat="1" x14ac:dyDescent="0.25">
      <c r="A23" s="240" t="s">
        <v>658</v>
      </c>
      <c r="B23" s="240" t="s">
        <v>645</v>
      </c>
      <c r="C23" s="240" t="s">
        <v>646</v>
      </c>
      <c r="D23" s="241" t="s">
        <v>985</v>
      </c>
      <c r="E23" s="240" t="s">
        <v>27</v>
      </c>
      <c r="F23" s="242">
        <v>345.36</v>
      </c>
      <c r="G23" s="243">
        <v>1.1399999999999999</v>
      </c>
      <c r="H23" s="243">
        <v>393.71</v>
      </c>
      <c r="I23" s="244">
        <v>1.0875023667836808E-4</v>
      </c>
    </row>
    <row r="24" spans="1:9" s="88" customFormat="1" ht="51" x14ac:dyDescent="0.25">
      <c r="A24" s="240" t="s">
        <v>659</v>
      </c>
      <c r="B24" s="240" t="s">
        <v>648</v>
      </c>
      <c r="C24" s="240" t="s">
        <v>551</v>
      </c>
      <c r="D24" s="241" t="s">
        <v>649</v>
      </c>
      <c r="E24" s="240" t="s">
        <v>575</v>
      </c>
      <c r="F24" s="242">
        <v>115.12</v>
      </c>
      <c r="G24" s="243">
        <v>58.26</v>
      </c>
      <c r="H24" s="243">
        <v>6706.89</v>
      </c>
      <c r="I24" s="244">
        <v>1.8525713720143762E-3</v>
      </c>
    </row>
    <row r="25" spans="1:9" s="88" customFormat="1" ht="25.5" x14ac:dyDescent="0.25">
      <c r="A25" s="240" t="s">
        <v>660</v>
      </c>
      <c r="B25" s="240" t="s">
        <v>651</v>
      </c>
      <c r="C25" s="240" t="s">
        <v>652</v>
      </c>
      <c r="D25" s="241" t="s">
        <v>984</v>
      </c>
      <c r="E25" s="240" t="s">
        <v>33</v>
      </c>
      <c r="F25" s="242">
        <v>115.12</v>
      </c>
      <c r="G25" s="243">
        <v>7.8</v>
      </c>
      <c r="H25" s="243">
        <v>897.93</v>
      </c>
      <c r="I25" s="244">
        <v>2.4802545025680593E-4</v>
      </c>
    </row>
    <row r="26" spans="1:9" s="88" customFormat="1" ht="38.25" x14ac:dyDescent="0.25">
      <c r="A26" s="240" t="s">
        <v>661</v>
      </c>
      <c r="B26" s="240" t="s">
        <v>654</v>
      </c>
      <c r="C26" s="240" t="s">
        <v>986</v>
      </c>
      <c r="D26" s="241" t="s">
        <v>655</v>
      </c>
      <c r="E26" s="240" t="s">
        <v>571</v>
      </c>
      <c r="F26" s="242">
        <v>345.36</v>
      </c>
      <c r="G26" s="243">
        <v>70.150000000000006</v>
      </c>
      <c r="H26" s="243">
        <v>24227</v>
      </c>
      <c r="I26" s="244">
        <v>6.6919610474888208E-3</v>
      </c>
    </row>
    <row r="27" spans="1:9" s="79" customFormat="1" x14ac:dyDescent="0.25">
      <c r="A27" s="196" t="s">
        <v>662</v>
      </c>
      <c r="B27" s="196"/>
      <c r="C27" s="196"/>
      <c r="D27" s="235" t="s">
        <v>663</v>
      </c>
      <c r="E27" s="235"/>
      <c r="F27" s="236"/>
      <c r="G27" s="237"/>
      <c r="H27" s="238">
        <v>43641.07</v>
      </c>
      <c r="I27" s="239">
        <v>1.2054498720878893E-2</v>
      </c>
    </row>
    <row r="28" spans="1:9" s="88" customFormat="1" x14ac:dyDescent="0.25">
      <c r="A28" s="240" t="s">
        <v>664</v>
      </c>
      <c r="B28" s="240" t="s">
        <v>645</v>
      </c>
      <c r="C28" s="240" t="s">
        <v>646</v>
      </c>
      <c r="D28" s="241" t="s">
        <v>985</v>
      </c>
      <c r="E28" s="240" t="s">
        <v>27</v>
      </c>
      <c r="F28" s="242">
        <v>467.7</v>
      </c>
      <c r="G28" s="243">
        <v>1.1399999999999999</v>
      </c>
      <c r="H28" s="243">
        <v>533.16999999999996</v>
      </c>
      <c r="I28" s="244">
        <v>1.4727175761297787E-4</v>
      </c>
    </row>
    <row r="29" spans="1:9" s="88" customFormat="1" ht="51" x14ac:dyDescent="0.25">
      <c r="A29" s="240" t="s">
        <v>665</v>
      </c>
      <c r="B29" s="240" t="s">
        <v>648</v>
      </c>
      <c r="C29" s="240" t="s">
        <v>551</v>
      </c>
      <c r="D29" s="241" t="s">
        <v>649</v>
      </c>
      <c r="E29" s="240" t="s">
        <v>575</v>
      </c>
      <c r="F29" s="242">
        <v>155.9</v>
      </c>
      <c r="G29" s="243">
        <v>58.26</v>
      </c>
      <c r="H29" s="243">
        <v>9082.73</v>
      </c>
      <c r="I29" s="244">
        <v>2.5088238479736712E-3</v>
      </c>
    </row>
    <row r="30" spans="1:9" s="88" customFormat="1" ht="25.5" x14ac:dyDescent="0.25">
      <c r="A30" s="240" t="s">
        <v>666</v>
      </c>
      <c r="B30" s="240" t="s">
        <v>651</v>
      </c>
      <c r="C30" s="240" t="s">
        <v>652</v>
      </c>
      <c r="D30" s="241" t="s">
        <v>984</v>
      </c>
      <c r="E30" s="240" t="s">
        <v>575</v>
      </c>
      <c r="F30" s="242">
        <v>155.9</v>
      </c>
      <c r="G30" s="243">
        <v>7.8</v>
      </c>
      <c r="H30" s="243">
        <v>1216.02</v>
      </c>
      <c r="I30" s="244">
        <v>3.3588799574719758E-4</v>
      </c>
    </row>
    <row r="31" spans="1:9" s="88" customFormat="1" ht="38.25" x14ac:dyDescent="0.25">
      <c r="A31" s="240" t="s">
        <v>667</v>
      </c>
      <c r="B31" s="240" t="s">
        <v>654</v>
      </c>
      <c r="C31" s="240" t="s">
        <v>986</v>
      </c>
      <c r="D31" s="241" t="s">
        <v>655</v>
      </c>
      <c r="E31" s="240" t="s">
        <v>571</v>
      </c>
      <c r="F31" s="242">
        <v>467.7</v>
      </c>
      <c r="G31" s="243">
        <v>70.150000000000006</v>
      </c>
      <c r="H31" s="243">
        <v>32809.15</v>
      </c>
      <c r="I31" s="244">
        <v>9.0625151195450459E-3</v>
      </c>
    </row>
    <row r="32" spans="1:9" s="79" customFormat="1" x14ac:dyDescent="0.25">
      <c r="A32" s="196" t="s">
        <v>668</v>
      </c>
      <c r="B32" s="196"/>
      <c r="C32" s="196"/>
      <c r="D32" s="235" t="s">
        <v>669</v>
      </c>
      <c r="E32" s="235"/>
      <c r="F32" s="236"/>
      <c r="G32" s="237"/>
      <c r="H32" s="238">
        <v>48914.96</v>
      </c>
      <c r="I32" s="239">
        <v>1.3511248068661979E-2</v>
      </c>
    </row>
    <row r="33" spans="1:9" s="88" customFormat="1" x14ac:dyDescent="0.25">
      <c r="A33" s="240" t="s">
        <v>670</v>
      </c>
      <c r="B33" s="240" t="s">
        <v>645</v>
      </c>
      <c r="C33" s="240" t="s">
        <v>646</v>
      </c>
      <c r="D33" s="241" t="s">
        <v>985</v>
      </c>
      <c r="E33" s="240" t="s">
        <v>571</v>
      </c>
      <c r="F33" s="242">
        <v>524.22</v>
      </c>
      <c r="G33" s="243">
        <v>1.1399999999999999</v>
      </c>
      <c r="H33" s="243">
        <v>597.61</v>
      </c>
      <c r="I33" s="244">
        <v>1.6507131884219235E-4</v>
      </c>
    </row>
    <row r="34" spans="1:9" s="88" customFormat="1" ht="51" x14ac:dyDescent="0.25">
      <c r="A34" s="240" t="s">
        <v>671</v>
      </c>
      <c r="B34" s="240" t="s">
        <v>648</v>
      </c>
      <c r="C34" s="240" t="s">
        <v>551</v>
      </c>
      <c r="D34" s="241" t="s">
        <v>649</v>
      </c>
      <c r="E34" s="240" t="s">
        <v>575</v>
      </c>
      <c r="F34" s="242">
        <v>174.74</v>
      </c>
      <c r="G34" s="243">
        <v>58.26</v>
      </c>
      <c r="H34" s="243">
        <v>10180.35</v>
      </c>
      <c r="I34" s="244">
        <v>2.8120074978248573E-3</v>
      </c>
    </row>
    <row r="35" spans="1:9" s="88" customFormat="1" ht="25.5" x14ac:dyDescent="0.25">
      <c r="A35" s="240" t="s">
        <v>672</v>
      </c>
      <c r="B35" s="240" t="s">
        <v>651</v>
      </c>
      <c r="C35" s="240" t="s">
        <v>652</v>
      </c>
      <c r="D35" s="241" t="s">
        <v>984</v>
      </c>
      <c r="E35" s="240" t="s">
        <v>33</v>
      </c>
      <c r="F35" s="242">
        <v>174.74</v>
      </c>
      <c r="G35" s="243">
        <v>7.8</v>
      </c>
      <c r="H35" s="243">
        <v>1362.97</v>
      </c>
      <c r="I35" s="244">
        <v>3.7647839802269523E-4</v>
      </c>
    </row>
    <row r="36" spans="1:9" s="88" customFormat="1" ht="38.25" x14ac:dyDescent="0.25">
      <c r="A36" s="240" t="s">
        <v>673</v>
      </c>
      <c r="B36" s="240" t="s">
        <v>654</v>
      </c>
      <c r="C36" s="240" t="s">
        <v>986</v>
      </c>
      <c r="D36" s="241" t="s">
        <v>655</v>
      </c>
      <c r="E36" s="240" t="s">
        <v>571</v>
      </c>
      <c r="F36" s="242">
        <v>524.22</v>
      </c>
      <c r="G36" s="243">
        <v>70.150000000000006</v>
      </c>
      <c r="H36" s="243">
        <v>36774.03</v>
      </c>
      <c r="I36" s="244">
        <v>1.0157690853972234E-2</v>
      </c>
    </row>
    <row r="37" spans="1:9" s="79" customFormat="1" x14ac:dyDescent="0.25">
      <c r="A37" s="196" t="s">
        <v>674</v>
      </c>
      <c r="B37" s="196"/>
      <c r="C37" s="196"/>
      <c r="D37" s="235" t="s">
        <v>675</v>
      </c>
      <c r="E37" s="235"/>
      <c r="F37" s="236"/>
      <c r="G37" s="237"/>
      <c r="H37" s="238">
        <v>51288.75</v>
      </c>
      <c r="I37" s="239">
        <v>1.4166934295389122E-2</v>
      </c>
    </row>
    <row r="38" spans="1:9" s="88" customFormat="1" x14ac:dyDescent="0.25">
      <c r="A38" s="240" t="s">
        <v>676</v>
      </c>
      <c r="B38" s="240" t="s">
        <v>645</v>
      </c>
      <c r="C38" s="240" t="s">
        <v>646</v>
      </c>
      <c r="D38" s="241" t="s">
        <v>985</v>
      </c>
      <c r="E38" s="240" t="s">
        <v>27</v>
      </c>
      <c r="F38" s="242">
        <v>549.66</v>
      </c>
      <c r="G38" s="243">
        <v>1.1399999999999999</v>
      </c>
      <c r="H38" s="243">
        <v>626.61</v>
      </c>
      <c r="I38" s="244">
        <v>1.7308167383361416E-4</v>
      </c>
    </row>
    <row r="39" spans="1:9" s="88" customFormat="1" ht="51" x14ac:dyDescent="0.25">
      <c r="A39" s="240" t="s">
        <v>677</v>
      </c>
      <c r="B39" s="240" t="s">
        <v>648</v>
      </c>
      <c r="C39" s="240" t="s">
        <v>551</v>
      </c>
      <c r="D39" s="241" t="s">
        <v>649</v>
      </c>
      <c r="E39" s="240" t="s">
        <v>575</v>
      </c>
      <c r="F39" s="242">
        <v>183.22</v>
      </c>
      <c r="G39" s="243">
        <v>58.26</v>
      </c>
      <c r="H39" s="243">
        <v>10674.39</v>
      </c>
      <c r="I39" s="244">
        <v>2.9484708005821682E-3</v>
      </c>
    </row>
    <row r="40" spans="1:9" s="88" customFormat="1" ht="25.5" x14ac:dyDescent="0.25">
      <c r="A40" s="240" t="s">
        <v>678</v>
      </c>
      <c r="B40" s="240" t="s">
        <v>651</v>
      </c>
      <c r="C40" s="240" t="s">
        <v>652</v>
      </c>
      <c r="D40" s="241" t="s">
        <v>984</v>
      </c>
      <c r="E40" s="240" t="s">
        <v>33</v>
      </c>
      <c r="F40" s="242">
        <v>183.22</v>
      </c>
      <c r="G40" s="243">
        <v>7.8</v>
      </c>
      <c r="H40" s="243">
        <v>1429.11</v>
      </c>
      <c r="I40" s="244">
        <v>3.9474753178588966E-4</v>
      </c>
    </row>
    <row r="41" spans="1:9" s="88" customFormat="1" ht="38.25" x14ac:dyDescent="0.25">
      <c r="A41" s="240" t="s">
        <v>679</v>
      </c>
      <c r="B41" s="240" t="s">
        <v>654</v>
      </c>
      <c r="C41" s="240" t="s">
        <v>986</v>
      </c>
      <c r="D41" s="241" t="s">
        <v>655</v>
      </c>
      <c r="E41" s="240" t="s">
        <v>571</v>
      </c>
      <c r="F41" s="242">
        <v>549.66</v>
      </c>
      <c r="G41" s="243">
        <v>70.150000000000006</v>
      </c>
      <c r="H41" s="243">
        <v>38558.639999999999</v>
      </c>
      <c r="I41" s="244">
        <v>1.0650634289187449E-2</v>
      </c>
    </row>
    <row r="42" spans="1:9" s="79" customFormat="1" x14ac:dyDescent="0.25">
      <c r="A42" s="196" t="s">
        <v>680</v>
      </c>
      <c r="B42" s="196"/>
      <c r="C42" s="196"/>
      <c r="D42" s="235" t="s">
        <v>681</v>
      </c>
      <c r="E42" s="235"/>
      <c r="F42" s="236"/>
      <c r="G42" s="237"/>
      <c r="H42" s="238">
        <v>57016.12</v>
      </c>
      <c r="I42" s="239">
        <v>1.5748943497707033E-2</v>
      </c>
    </row>
    <row r="43" spans="1:9" s="88" customFormat="1" x14ac:dyDescent="0.25">
      <c r="A43" s="240" t="s">
        <v>682</v>
      </c>
      <c r="B43" s="240" t="s">
        <v>645</v>
      </c>
      <c r="C43" s="240" t="s">
        <v>646</v>
      </c>
      <c r="D43" s="241" t="s">
        <v>985</v>
      </c>
      <c r="E43" s="240" t="s">
        <v>27</v>
      </c>
      <c r="F43" s="242">
        <v>611.04</v>
      </c>
      <c r="G43" s="243">
        <v>1.1399999999999999</v>
      </c>
      <c r="H43" s="243">
        <v>696.58</v>
      </c>
      <c r="I43" s="244">
        <v>1.9240872689395148E-4</v>
      </c>
    </row>
    <row r="44" spans="1:9" s="88" customFormat="1" ht="51" x14ac:dyDescent="0.25">
      <c r="A44" s="240" t="s">
        <v>683</v>
      </c>
      <c r="B44" s="240" t="s">
        <v>648</v>
      </c>
      <c r="C44" s="240" t="s">
        <v>551</v>
      </c>
      <c r="D44" s="241" t="s">
        <v>649</v>
      </c>
      <c r="E44" s="240" t="s">
        <v>575</v>
      </c>
      <c r="F44" s="242">
        <v>203.68</v>
      </c>
      <c r="G44" s="243">
        <v>58.26</v>
      </c>
      <c r="H44" s="243">
        <v>11866.39</v>
      </c>
      <c r="I44" s="244">
        <v>3.2777240126433673E-3</v>
      </c>
    </row>
    <row r="45" spans="1:9" s="88" customFormat="1" ht="25.5" x14ac:dyDescent="0.25">
      <c r="A45" s="240" t="s">
        <v>684</v>
      </c>
      <c r="B45" s="240" t="s">
        <v>651</v>
      </c>
      <c r="C45" s="240" t="s">
        <v>652</v>
      </c>
      <c r="D45" s="241" t="s">
        <v>984</v>
      </c>
      <c r="E45" s="240" t="s">
        <v>33</v>
      </c>
      <c r="F45" s="242">
        <v>203.68</v>
      </c>
      <c r="G45" s="243">
        <v>7.8</v>
      </c>
      <c r="H45" s="243">
        <v>1588.7</v>
      </c>
      <c r="I45" s="244">
        <v>4.388293439610967E-4</v>
      </c>
    </row>
    <row r="46" spans="1:9" s="88" customFormat="1" ht="38.25" x14ac:dyDescent="0.25">
      <c r="A46" s="240" t="s">
        <v>685</v>
      </c>
      <c r="B46" s="240" t="s">
        <v>654</v>
      </c>
      <c r="C46" s="240" t="s">
        <v>986</v>
      </c>
      <c r="D46" s="241" t="s">
        <v>655</v>
      </c>
      <c r="E46" s="240" t="s">
        <v>571</v>
      </c>
      <c r="F46" s="242">
        <v>611.04</v>
      </c>
      <c r="G46" s="243">
        <v>70.150000000000006</v>
      </c>
      <c r="H46" s="243">
        <v>42864.45</v>
      </c>
      <c r="I46" s="244">
        <v>1.1839981414208618E-2</v>
      </c>
    </row>
    <row r="47" spans="1:9" s="79" customFormat="1" ht="25.5" x14ac:dyDescent="0.25">
      <c r="A47" s="196" t="s">
        <v>686</v>
      </c>
      <c r="B47" s="196"/>
      <c r="C47" s="196"/>
      <c r="D47" s="235" t="s">
        <v>687</v>
      </c>
      <c r="E47" s="235"/>
      <c r="F47" s="236"/>
      <c r="G47" s="237"/>
      <c r="H47" s="238">
        <v>40069.160000000003</v>
      </c>
      <c r="I47" s="239">
        <v>1.1067868820968224E-2</v>
      </c>
    </row>
    <row r="48" spans="1:9" s="88" customFormat="1" x14ac:dyDescent="0.25">
      <c r="A48" s="240" t="s">
        <v>688</v>
      </c>
      <c r="B48" s="240" t="s">
        <v>645</v>
      </c>
      <c r="C48" s="240" t="s">
        <v>646</v>
      </c>
      <c r="D48" s="241" t="s">
        <v>985</v>
      </c>
      <c r="E48" s="240" t="s">
        <v>27</v>
      </c>
      <c r="F48" s="242">
        <v>429.42</v>
      </c>
      <c r="G48" s="243">
        <v>1.1399999999999999</v>
      </c>
      <c r="H48" s="243">
        <v>489.53</v>
      </c>
      <c r="I48" s="244">
        <v>1.3521755444657622E-4</v>
      </c>
    </row>
    <row r="49" spans="1:9" s="88" customFormat="1" ht="51" x14ac:dyDescent="0.25">
      <c r="A49" s="240" t="s">
        <v>689</v>
      </c>
      <c r="B49" s="240" t="s">
        <v>648</v>
      </c>
      <c r="C49" s="240" t="s">
        <v>551</v>
      </c>
      <c r="D49" s="241" t="s">
        <v>649</v>
      </c>
      <c r="E49" s="240" t="s">
        <v>575</v>
      </c>
      <c r="F49" s="242">
        <v>143.13999999999999</v>
      </c>
      <c r="G49" s="243">
        <v>58.26</v>
      </c>
      <c r="H49" s="243">
        <v>8339.33</v>
      </c>
      <c r="I49" s="244">
        <v>2.3034825410556382E-3</v>
      </c>
    </row>
    <row r="50" spans="1:9" s="88" customFormat="1" ht="25.5" x14ac:dyDescent="0.25">
      <c r="A50" s="240" t="s">
        <v>690</v>
      </c>
      <c r="B50" s="240" t="s">
        <v>651</v>
      </c>
      <c r="C50" s="240" t="s">
        <v>652</v>
      </c>
      <c r="D50" s="241" t="s">
        <v>984</v>
      </c>
      <c r="E50" s="240" t="s">
        <v>33</v>
      </c>
      <c r="F50" s="242">
        <v>143.13999999999999</v>
      </c>
      <c r="G50" s="243">
        <v>7.8</v>
      </c>
      <c r="H50" s="243">
        <v>1116.49</v>
      </c>
      <c r="I50" s="244">
        <v>3.0839590497836269E-4</v>
      </c>
    </row>
    <row r="51" spans="1:9" s="88" customFormat="1" ht="38.25" x14ac:dyDescent="0.25">
      <c r="A51" s="240" t="s">
        <v>691</v>
      </c>
      <c r="B51" s="240" t="s">
        <v>654</v>
      </c>
      <c r="C51" s="240" t="s">
        <v>986</v>
      </c>
      <c r="D51" s="241" t="s">
        <v>655</v>
      </c>
      <c r="E51" s="240" t="s">
        <v>571</v>
      </c>
      <c r="F51" s="242">
        <v>429.42</v>
      </c>
      <c r="G51" s="243">
        <v>70.150000000000006</v>
      </c>
      <c r="H51" s="243">
        <v>30123.81</v>
      </c>
      <c r="I51" s="244">
        <v>8.3207728204876472E-3</v>
      </c>
    </row>
    <row r="52" spans="1:9" s="79" customFormat="1" x14ac:dyDescent="0.25">
      <c r="A52" s="196" t="s">
        <v>692</v>
      </c>
      <c r="B52" s="196"/>
      <c r="C52" s="196"/>
      <c r="D52" s="235" t="s">
        <v>360</v>
      </c>
      <c r="E52" s="235"/>
      <c r="F52" s="236"/>
      <c r="G52" s="237"/>
      <c r="H52" s="238">
        <v>27993</v>
      </c>
      <c r="I52" s="239">
        <v>7.732202319823113E-3</v>
      </c>
    </row>
    <row r="53" spans="1:9" s="88" customFormat="1" x14ac:dyDescent="0.25">
      <c r="A53" s="240" t="s">
        <v>693</v>
      </c>
      <c r="B53" s="240" t="s">
        <v>645</v>
      </c>
      <c r="C53" s="240" t="s">
        <v>646</v>
      </c>
      <c r="D53" s="241" t="s">
        <v>985</v>
      </c>
      <c r="E53" s="240" t="s">
        <v>27</v>
      </c>
      <c r="F53" s="242">
        <v>300</v>
      </c>
      <c r="G53" s="243">
        <v>1.1399999999999999</v>
      </c>
      <c r="H53" s="243">
        <v>342</v>
      </c>
      <c r="I53" s="244">
        <v>9.4466945071250113E-5</v>
      </c>
    </row>
    <row r="54" spans="1:9" s="88" customFormat="1" ht="51" x14ac:dyDescent="0.25">
      <c r="A54" s="240" t="s">
        <v>694</v>
      </c>
      <c r="B54" s="240" t="s">
        <v>648</v>
      </c>
      <c r="C54" s="240" t="s">
        <v>551</v>
      </c>
      <c r="D54" s="241" t="s">
        <v>649</v>
      </c>
      <c r="E54" s="240" t="s">
        <v>575</v>
      </c>
      <c r="F54" s="242">
        <v>100</v>
      </c>
      <c r="G54" s="243">
        <v>58.26</v>
      </c>
      <c r="H54" s="243">
        <v>5826</v>
      </c>
      <c r="I54" s="244">
        <v>1.6092526958628747E-3</v>
      </c>
    </row>
    <row r="55" spans="1:9" s="88" customFormat="1" ht="25.5" x14ac:dyDescent="0.25">
      <c r="A55" s="240" t="s">
        <v>695</v>
      </c>
      <c r="B55" s="240" t="s">
        <v>651</v>
      </c>
      <c r="C55" s="240" t="s">
        <v>652</v>
      </c>
      <c r="D55" s="241" t="s">
        <v>984</v>
      </c>
      <c r="E55" s="240" t="s">
        <v>33</v>
      </c>
      <c r="F55" s="242">
        <v>100</v>
      </c>
      <c r="G55" s="243">
        <v>7.8</v>
      </c>
      <c r="H55" s="243">
        <v>780</v>
      </c>
      <c r="I55" s="244">
        <v>2.1545092735548272E-4</v>
      </c>
    </row>
    <row r="56" spans="1:9" s="88" customFormat="1" ht="38.25" x14ac:dyDescent="0.25">
      <c r="A56" s="240" t="s">
        <v>696</v>
      </c>
      <c r="B56" s="240" t="s">
        <v>654</v>
      </c>
      <c r="C56" s="240" t="s">
        <v>986</v>
      </c>
      <c r="D56" s="241" t="s">
        <v>655</v>
      </c>
      <c r="E56" s="240" t="s">
        <v>571</v>
      </c>
      <c r="F56" s="242">
        <v>300</v>
      </c>
      <c r="G56" s="243">
        <v>70.150000000000006</v>
      </c>
      <c r="H56" s="243">
        <v>21045</v>
      </c>
      <c r="I56" s="244">
        <v>5.8130317515335053E-3</v>
      </c>
    </row>
    <row r="57" spans="1:9" s="79" customFormat="1" ht="25.5" x14ac:dyDescent="0.25">
      <c r="A57" s="196" t="s">
        <v>697</v>
      </c>
      <c r="B57" s="196"/>
      <c r="C57" s="196"/>
      <c r="D57" s="235" t="s">
        <v>698</v>
      </c>
      <c r="E57" s="235"/>
      <c r="F57" s="236"/>
      <c r="G57" s="237"/>
      <c r="H57" s="238">
        <v>175538.49</v>
      </c>
      <c r="I57" s="239">
        <v>4.8487090329591191E-2</v>
      </c>
    </row>
    <row r="58" spans="1:9" s="79" customFormat="1" ht="25.5" x14ac:dyDescent="0.25">
      <c r="A58" s="196" t="s">
        <v>699</v>
      </c>
      <c r="B58" s="196"/>
      <c r="C58" s="196"/>
      <c r="D58" s="235" t="s">
        <v>700</v>
      </c>
      <c r="E58" s="235"/>
      <c r="F58" s="236"/>
      <c r="G58" s="237"/>
      <c r="H58" s="238">
        <v>175538.49</v>
      </c>
      <c r="I58" s="239">
        <v>4.8487090329591191E-2</v>
      </c>
    </row>
    <row r="59" spans="1:9" s="88" customFormat="1" x14ac:dyDescent="0.25">
      <c r="A59" s="240" t="s">
        <v>701</v>
      </c>
      <c r="B59" s="240" t="s">
        <v>645</v>
      </c>
      <c r="C59" s="240" t="s">
        <v>646</v>
      </c>
      <c r="D59" s="241" t="s">
        <v>985</v>
      </c>
      <c r="E59" s="240" t="s">
        <v>27</v>
      </c>
      <c r="F59" s="242">
        <v>1881.24</v>
      </c>
      <c r="G59" s="243">
        <v>1.1399999999999999</v>
      </c>
      <c r="H59" s="243">
        <v>2144.61</v>
      </c>
      <c r="I59" s="244">
        <v>5.9238232476389971E-4</v>
      </c>
    </row>
    <row r="60" spans="1:9" s="88" customFormat="1" ht="51" x14ac:dyDescent="0.25">
      <c r="A60" s="240" t="s">
        <v>702</v>
      </c>
      <c r="B60" s="240" t="s">
        <v>648</v>
      </c>
      <c r="C60" s="240" t="s">
        <v>551</v>
      </c>
      <c r="D60" s="241" t="s">
        <v>649</v>
      </c>
      <c r="E60" s="240" t="s">
        <v>575</v>
      </c>
      <c r="F60" s="242">
        <v>627.08000000000004</v>
      </c>
      <c r="G60" s="243">
        <v>58.26</v>
      </c>
      <c r="H60" s="243">
        <v>36533.68</v>
      </c>
      <c r="I60" s="244">
        <v>1.0091301584241605E-2</v>
      </c>
    </row>
    <row r="61" spans="1:9" s="88" customFormat="1" ht="25.5" x14ac:dyDescent="0.25">
      <c r="A61" s="240" t="s">
        <v>703</v>
      </c>
      <c r="B61" s="240" t="s">
        <v>651</v>
      </c>
      <c r="C61" s="240" t="s">
        <v>652</v>
      </c>
      <c r="D61" s="241" t="s">
        <v>984</v>
      </c>
      <c r="E61" s="240" t="s">
        <v>33</v>
      </c>
      <c r="F61" s="242">
        <v>627.08000000000004</v>
      </c>
      <c r="G61" s="243">
        <v>7.8</v>
      </c>
      <c r="H61" s="243">
        <v>4891.22</v>
      </c>
      <c r="I61" s="244">
        <v>1.3510485703842104E-3</v>
      </c>
    </row>
    <row r="62" spans="1:9" s="88" customFormat="1" ht="38.25" x14ac:dyDescent="0.25">
      <c r="A62" s="240" t="s">
        <v>704</v>
      </c>
      <c r="B62" s="240" t="s">
        <v>654</v>
      </c>
      <c r="C62" s="240" t="s">
        <v>986</v>
      </c>
      <c r="D62" s="241" t="s">
        <v>655</v>
      </c>
      <c r="E62" s="240" t="s">
        <v>571</v>
      </c>
      <c r="F62" s="242">
        <v>1881.24</v>
      </c>
      <c r="G62" s="243">
        <v>70.150000000000006</v>
      </c>
      <c r="H62" s="243">
        <v>131968.98000000001</v>
      </c>
      <c r="I62" s="244">
        <v>3.6452357850201476E-2</v>
      </c>
    </row>
    <row r="63" spans="1:9" s="79" customFormat="1" ht="25.5" x14ac:dyDescent="0.25">
      <c r="A63" s="196" t="s">
        <v>705</v>
      </c>
      <c r="B63" s="196"/>
      <c r="C63" s="196"/>
      <c r="D63" s="235" t="s">
        <v>706</v>
      </c>
      <c r="E63" s="235"/>
      <c r="F63" s="236"/>
      <c r="G63" s="237"/>
      <c r="H63" s="238">
        <v>233097.81</v>
      </c>
      <c r="I63" s="239">
        <v>6.4386076062861688E-2</v>
      </c>
    </row>
    <row r="64" spans="1:9" s="79" customFormat="1" x14ac:dyDescent="0.25">
      <c r="A64" s="196" t="s">
        <v>707</v>
      </c>
      <c r="B64" s="196"/>
      <c r="C64" s="196"/>
      <c r="D64" s="235" t="s">
        <v>708</v>
      </c>
      <c r="E64" s="235"/>
      <c r="F64" s="236"/>
      <c r="G64" s="237"/>
      <c r="H64" s="238">
        <v>181713.89</v>
      </c>
      <c r="I64" s="239">
        <v>5.0192853992143821E-2</v>
      </c>
    </row>
    <row r="65" spans="1:9" s="88" customFormat="1" x14ac:dyDescent="0.25">
      <c r="A65" s="240" t="s">
        <v>709</v>
      </c>
      <c r="B65" s="240" t="s">
        <v>645</v>
      </c>
      <c r="C65" s="240" t="s">
        <v>646</v>
      </c>
      <c r="D65" s="241" t="s">
        <v>985</v>
      </c>
      <c r="E65" s="240" t="s">
        <v>27</v>
      </c>
      <c r="F65" s="242">
        <v>1411.23</v>
      </c>
      <c r="G65" s="243">
        <v>1.1399999999999999</v>
      </c>
      <c r="H65" s="243">
        <v>1608.8</v>
      </c>
      <c r="I65" s="244">
        <v>4.443813486275649E-4</v>
      </c>
    </row>
    <row r="66" spans="1:9" s="88" customFormat="1" ht="51" x14ac:dyDescent="0.25">
      <c r="A66" s="240" t="s">
        <v>710</v>
      </c>
      <c r="B66" s="240" t="s">
        <v>648</v>
      </c>
      <c r="C66" s="240" t="s">
        <v>551</v>
      </c>
      <c r="D66" s="241" t="s">
        <v>649</v>
      </c>
      <c r="E66" s="240" t="s">
        <v>575</v>
      </c>
      <c r="F66" s="242">
        <v>443.5</v>
      </c>
      <c r="G66" s="243">
        <v>58.26</v>
      </c>
      <c r="H66" s="243">
        <v>25838.31</v>
      </c>
      <c r="I66" s="244">
        <v>7.1370357061518496E-3</v>
      </c>
    </row>
    <row r="67" spans="1:9" s="88" customFormat="1" ht="25.5" x14ac:dyDescent="0.25">
      <c r="A67" s="240" t="s">
        <v>711</v>
      </c>
      <c r="B67" s="240" t="s">
        <v>651</v>
      </c>
      <c r="C67" s="240" t="s">
        <v>652</v>
      </c>
      <c r="D67" s="241" t="s">
        <v>984</v>
      </c>
      <c r="E67" s="240" t="s">
        <v>33</v>
      </c>
      <c r="F67" s="242">
        <v>443.5</v>
      </c>
      <c r="G67" s="243">
        <v>7.8</v>
      </c>
      <c r="H67" s="243">
        <v>3459.3</v>
      </c>
      <c r="I67" s="244">
        <v>9.5552486282156584E-4</v>
      </c>
    </row>
    <row r="68" spans="1:9" s="88" customFormat="1" ht="38.25" x14ac:dyDescent="0.25">
      <c r="A68" s="240" t="s">
        <v>712</v>
      </c>
      <c r="B68" s="240" t="s">
        <v>654</v>
      </c>
      <c r="C68" s="240" t="s">
        <v>986</v>
      </c>
      <c r="D68" s="241" t="s">
        <v>655</v>
      </c>
      <c r="E68" s="240" t="s">
        <v>571</v>
      </c>
      <c r="F68" s="242">
        <v>1411.23</v>
      </c>
      <c r="G68" s="243">
        <v>70.150000000000006</v>
      </c>
      <c r="H68" s="243">
        <v>98997.78</v>
      </c>
      <c r="I68" s="244">
        <v>2.7345081419402641E-2</v>
      </c>
    </row>
    <row r="69" spans="1:9" s="232" customFormat="1" ht="25.5" x14ac:dyDescent="0.25">
      <c r="A69" s="245"/>
      <c r="B69" s="245"/>
      <c r="C69" s="245"/>
      <c r="D69" s="246" t="s">
        <v>987</v>
      </c>
      <c r="E69" s="245"/>
      <c r="F69" s="247"/>
      <c r="G69" s="248"/>
      <c r="H69" s="248"/>
      <c r="I69" s="249"/>
    </row>
    <row r="70" spans="1:9" s="88" customFormat="1" ht="63.75" x14ac:dyDescent="0.25">
      <c r="A70" s="240" t="s">
        <v>713</v>
      </c>
      <c r="B70" s="240" t="s">
        <v>714</v>
      </c>
      <c r="C70" s="240" t="s">
        <v>551</v>
      </c>
      <c r="D70" s="241" t="s">
        <v>715</v>
      </c>
      <c r="E70" s="240" t="s">
        <v>593</v>
      </c>
      <c r="F70" s="242">
        <v>38.68</v>
      </c>
      <c r="G70" s="243">
        <v>12.65</v>
      </c>
      <c r="H70" s="243">
        <v>489.3</v>
      </c>
      <c r="I70" s="244">
        <v>1.3515402404492012E-4</v>
      </c>
    </row>
    <row r="71" spans="1:9" s="88" customFormat="1" ht="25.5" x14ac:dyDescent="0.25">
      <c r="A71" s="240" t="s">
        <v>716</v>
      </c>
      <c r="B71" s="240" t="s">
        <v>717</v>
      </c>
      <c r="C71" s="240" t="s">
        <v>646</v>
      </c>
      <c r="D71" s="241" t="s">
        <v>988</v>
      </c>
      <c r="E71" s="240" t="s">
        <v>593</v>
      </c>
      <c r="F71" s="242">
        <v>67.16</v>
      </c>
      <c r="G71" s="243">
        <v>400.83</v>
      </c>
      <c r="H71" s="243">
        <v>26919.74</v>
      </c>
      <c r="I71" s="244">
        <v>7.4357473681647213E-3</v>
      </c>
    </row>
    <row r="72" spans="1:9" s="88" customFormat="1" ht="25.5" x14ac:dyDescent="0.25">
      <c r="A72" s="240" t="s">
        <v>718</v>
      </c>
      <c r="B72" s="240" t="s">
        <v>719</v>
      </c>
      <c r="C72" s="240" t="s">
        <v>986</v>
      </c>
      <c r="D72" s="241" t="s">
        <v>720</v>
      </c>
      <c r="E72" s="240" t="s">
        <v>571</v>
      </c>
      <c r="F72" s="242">
        <v>178.5</v>
      </c>
      <c r="G72" s="243">
        <v>128.78</v>
      </c>
      <c r="H72" s="243">
        <v>22987.23</v>
      </c>
      <c r="I72" s="244">
        <v>6.3495128472227866E-3</v>
      </c>
    </row>
    <row r="73" spans="1:9" s="88" customFormat="1" ht="25.5" x14ac:dyDescent="0.25">
      <c r="A73" s="240" t="s">
        <v>721</v>
      </c>
      <c r="B73" s="240" t="s">
        <v>722</v>
      </c>
      <c r="C73" s="240" t="s">
        <v>551</v>
      </c>
      <c r="D73" s="241" t="s">
        <v>723</v>
      </c>
      <c r="E73" s="240" t="s">
        <v>571</v>
      </c>
      <c r="F73" s="242">
        <v>44.63</v>
      </c>
      <c r="G73" s="243">
        <v>31.67</v>
      </c>
      <c r="H73" s="243">
        <v>1413.43</v>
      </c>
      <c r="I73" s="244">
        <v>3.9041641570776919E-4</v>
      </c>
    </row>
    <row r="74" spans="1:9" s="79" customFormat="1" ht="38.25" x14ac:dyDescent="0.25">
      <c r="A74" s="196" t="s">
        <v>724</v>
      </c>
      <c r="B74" s="196"/>
      <c r="C74" s="196"/>
      <c r="D74" s="235" t="s">
        <v>725</v>
      </c>
      <c r="E74" s="235"/>
      <c r="F74" s="236"/>
      <c r="G74" s="237"/>
      <c r="H74" s="238">
        <v>26302.2</v>
      </c>
      <c r="I74" s="239">
        <v>7.2651710019094587E-3</v>
      </c>
    </row>
    <row r="75" spans="1:9" s="88" customFormat="1" x14ac:dyDescent="0.25">
      <c r="A75" s="240" t="s">
        <v>726</v>
      </c>
      <c r="B75" s="240" t="s">
        <v>645</v>
      </c>
      <c r="C75" s="240" t="s">
        <v>646</v>
      </c>
      <c r="D75" s="241" t="s">
        <v>985</v>
      </c>
      <c r="E75" s="240" t="s">
        <v>27</v>
      </c>
      <c r="F75" s="242">
        <v>281.88</v>
      </c>
      <c r="G75" s="243">
        <v>1.1399999999999999</v>
      </c>
      <c r="H75" s="243">
        <v>321.33999999999997</v>
      </c>
      <c r="I75" s="244">
        <v>8.8760257687706186E-5</v>
      </c>
    </row>
    <row r="76" spans="1:9" s="88" customFormat="1" ht="51" x14ac:dyDescent="0.25">
      <c r="A76" s="240" t="s">
        <v>727</v>
      </c>
      <c r="B76" s="240" t="s">
        <v>648</v>
      </c>
      <c r="C76" s="240" t="s">
        <v>551</v>
      </c>
      <c r="D76" s="241" t="s">
        <v>649</v>
      </c>
      <c r="E76" s="240" t="s">
        <v>575</v>
      </c>
      <c r="F76" s="242">
        <v>93.96</v>
      </c>
      <c r="G76" s="243">
        <v>58.26</v>
      </c>
      <c r="H76" s="243">
        <v>5474.1</v>
      </c>
      <c r="I76" s="244">
        <v>1.5120511813290359E-3</v>
      </c>
    </row>
    <row r="77" spans="1:9" s="88" customFormat="1" ht="25.5" x14ac:dyDescent="0.25">
      <c r="A77" s="240" t="s">
        <v>728</v>
      </c>
      <c r="B77" s="240" t="s">
        <v>651</v>
      </c>
      <c r="C77" s="240" t="s">
        <v>652</v>
      </c>
      <c r="D77" s="241" t="s">
        <v>984</v>
      </c>
      <c r="E77" s="240" t="s">
        <v>33</v>
      </c>
      <c r="F77" s="242">
        <v>93.96</v>
      </c>
      <c r="G77" s="243">
        <v>7.8</v>
      </c>
      <c r="H77" s="243">
        <v>732.88</v>
      </c>
      <c r="I77" s="244">
        <v>2.0243548159011048E-4</v>
      </c>
    </row>
    <row r="78" spans="1:9" s="88" customFormat="1" ht="38.25" x14ac:dyDescent="0.25">
      <c r="A78" s="240" t="s">
        <v>729</v>
      </c>
      <c r="B78" s="240" t="s">
        <v>654</v>
      </c>
      <c r="C78" s="240" t="s">
        <v>986</v>
      </c>
      <c r="D78" s="241" t="s">
        <v>655</v>
      </c>
      <c r="E78" s="240" t="s">
        <v>571</v>
      </c>
      <c r="F78" s="242">
        <v>281.88</v>
      </c>
      <c r="G78" s="243">
        <v>70.150000000000006</v>
      </c>
      <c r="H78" s="243">
        <v>19773.88</v>
      </c>
      <c r="I78" s="244">
        <v>5.4619240813026061E-3</v>
      </c>
    </row>
    <row r="79" spans="1:9" s="79" customFormat="1" ht="25.5" x14ac:dyDescent="0.25">
      <c r="A79" s="196" t="s">
        <v>730</v>
      </c>
      <c r="B79" s="196"/>
      <c r="C79" s="196"/>
      <c r="D79" s="235" t="s">
        <v>731</v>
      </c>
      <c r="E79" s="235"/>
      <c r="F79" s="236"/>
      <c r="G79" s="237"/>
      <c r="H79" s="238">
        <v>25081.72</v>
      </c>
      <c r="I79" s="239">
        <v>6.9280510688084079E-3</v>
      </c>
    </row>
    <row r="80" spans="1:9" s="88" customFormat="1" x14ac:dyDescent="0.25">
      <c r="A80" s="240" t="s">
        <v>732</v>
      </c>
      <c r="B80" s="240" t="s">
        <v>645</v>
      </c>
      <c r="C80" s="240" t="s">
        <v>646</v>
      </c>
      <c r="D80" s="241" t="s">
        <v>985</v>
      </c>
      <c r="E80" s="240" t="s">
        <v>27</v>
      </c>
      <c r="F80" s="242">
        <v>268.8</v>
      </c>
      <c r="G80" s="243">
        <v>1.1399999999999999</v>
      </c>
      <c r="H80" s="243">
        <v>306.43</v>
      </c>
      <c r="I80" s="244">
        <v>8.464183034556484E-5</v>
      </c>
    </row>
    <row r="81" spans="1:9" s="88" customFormat="1" ht="51" x14ac:dyDescent="0.25">
      <c r="A81" s="240" t="s">
        <v>733</v>
      </c>
      <c r="B81" s="240" t="s">
        <v>648</v>
      </c>
      <c r="C81" s="240" t="s">
        <v>551</v>
      </c>
      <c r="D81" s="241" t="s">
        <v>649</v>
      </c>
      <c r="E81" s="240" t="s">
        <v>575</v>
      </c>
      <c r="F81" s="242">
        <v>89.6</v>
      </c>
      <c r="G81" s="243">
        <v>58.26</v>
      </c>
      <c r="H81" s="243">
        <v>5220.09</v>
      </c>
      <c r="I81" s="244">
        <v>1.44188875817831E-3</v>
      </c>
    </row>
    <row r="82" spans="1:9" s="88" customFormat="1" ht="25.5" x14ac:dyDescent="0.25">
      <c r="A82" s="240" t="s">
        <v>734</v>
      </c>
      <c r="B82" s="240" t="s">
        <v>651</v>
      </c>
      <c r="C82" s="240" t="s">
        <v>652</v>
      </c>
      <c r="D82" s="241" t="s">
        <v>984</v>
      </c>
      <c r="E82" s="240" t="s">
        <v>33</v>
      </c>
      <c r="F82" s="242">
        <v>89.6</v>
      </c>
      <c r="G82" s="243">
        <v>7.8</v>
      </c>
      <c r="H82" s="243">
        <v>698.88</v>
      </c>
      <c r="I82" s="244">
        <v>1.9304403091051253E-4</v>
      </c>
    </row>
    <row r="83" spans="1:9" s="88" customFormat="1" ht="38.25" x14ac:dyDescent="0.25">
      <c r="A83" s="240" t="s">
        <v>735</v>
      </c>
      <c r="B83" s="240" t="s">
        <v>654</v>
      </c>
      <c r="C83" s="240" t="s">
        <v>986</v>
      </c>
      <c r="D83" s="241" t="s">
        <v>655</v>
      </c>
      <c r="E83" s="240" t="s">
        <v>571</v>
      </c>
      <c r="F83" s="242">
        <v>268.8</v>
      </c>
      <c r="G83" s="243">
        <v>70.150000000000006</v>
      </c>
      <c r="H83" s="243">
        <v>18856.32</v>
      </c>
      <c r="I83" s="244">
        <v>5.2084764493740207E-3</v>
      </c>
    </row>
    <row r="84" spans="1:9" s="79" customFormat="1" x14ac:dyDescent="0.25">
      <c r="A84" s="196" t="s">
        <v>736</v>
      </c>
      <c r="B84" s="196"/>
      <c r="C84" s="196"/>
      <c r="D84" s="235" t="s">
        <v>100</v>
      </c>
      <c r="E84" s="235"/>
      <c r="F84" s="236"/>
      <c r="G84" s="237"/>
      <c r="H84" s="238">
        <v>712643.57</v>
      </c>
      <c r="I84" s="239">
        <v>0.19684579234669469</v>
      </c>
    </row>
    <row r="85" spans="1:9" s="79" customFormat="1" x14ac:dyDescent="0.25">
      <c r="A85" s="196" t="s">
        <v>737</v>
      </c>
      <c r="B85" s="196"/>
      <c r="C85" s="196"/>
      <c r="D85" s="235" t="s">
        <v>388</v>
      </c>
      <c r="E85" s="235"/>
      <c r="F85" s="236"/>
      <c r="G85" s="237"/>
      <c r="H85" s="238">
        <v>185904.4</v>
      </c>
      <c r="I85" s="239">
        <v>5.1350353050595647E-2</v>
      </c>
    </row>
    <row r="86" spans="1:9" s="88" customFormat="1" x14ac:dyDescent="0.25">
      <c r="A86" s="240" t="s">
        <v>738</v>
      </c>
      <c r="B86" s="240" t="s">
        <v>645</v>
      </c>
      <c r="C86" s="240" t="s">
        <v>646</v>
      </c>
      <c r="D86" s="241" t="s">
        <v>985</v>
      </c>
      <c r="E86" s="240" t="s">
        <v>27</v>
      </c>
      <c r="F86" s="242">
        <v>2200</v>
      </c>
      <c r="G86" s="243">
        <v>1.1399999999999999</v>
      </c>
      <c r="H86" s="243">
        <v>2508</v>
      </c>
      <c r="I86" s="244">
        <v>6.9275759718916759E-4</v>
      </c>
    </row>
    <row r="87" spans="1:9" s="88" customFormat="1" ht="51" x14ac:dyDescent="0.25">
      <c r="A87" s="240" t="s">
        <v>739</v>
      </c>
      <c r="B87" s="240" t="s">
        <v>648</v>
      </c>
      <c r="C87" s="240" t="s">
        <v>551</v>
      </c>
      <c r="D87" s="241" t="s">
        <v>649</v>
      </c>
      <c r="E87" s="240" t="s">
        <v>575</v>
      </c>
      <c r="F87" s="242">
        <v>440</v>
      </c>
      <c r="G87" s="243">
        <v>58.26</v>
      </c>
      <c r="H87" s="243">
        <v>25634.400000000001</v>
      </c>
      <c r="I87" s="244">
        <v>7.0807118617966496E-3</v>
      </c>
    </row>
    <row r="88" spans="1:9" s="88" customFormat="1" ht="25.5" x14ac:dyDescent="0.25">
      <c r="A88" s="240" t="s">
        <v>740</v>
      </c>
      <c r="B88" s="240" t="s">
        <v>651</v>
      </c>
      <c r="C88" s="240" t="s">
        <v>652</v>
      </c>
      <c r="D88" s="241" t="s">
        <v>984</v>
      </c>
      <c r="E88" s="240" t="s">
        <v>33</v>
      </c>
      <c r="F88" s="242">
        <v>440</v>
      </c>
      <c r="G88" s="243">
        <v>7.8</v>
      </c>
      <c r="H88" s="243">
        <v>3432</v>
      </c>
      <c r="I88" s="244">
        <v>9.4798408036412402E-4</v>
      </c>
    </row>
    <row r="89" spans="1:9" s="88" customFormat="1" ht="38.25" x14ac:dyDescent="0.25">
      <c r="A89" s="240" t="s">
        <v>741</v>
      </c>
      <c r="B89" s="240" t="s">
        <v>654</v>
      </c>
      <c r="C89" s="240" t="s">
        <v>986</v>
      </c>
      <c r="D89" s="241" t="s">
        <v>655</v>
      </c>
      <c r="E89" s="240" t="s">
        <v>571</v>
      </c>
      <c r="F89" s="242">
        <v>2200</v>
      </c>
      <c r="G89" s="243">
        <v>70.150000000000006</v>
      </c>
      <c r="H89" s="243">
        <v>154330</v>
      </c>
      <c r="I89" s="244">
        <v>4.2628899511245703E-2</v>
      </c>
    </row>
    <row r="90" spans="1:9" s="79" customFormat="1" x14ac:dyDescent="0.25">
      <c r="A90" s="196" t="s">
        <v>742</v>
      </c>
      <c r="B90" s="196"/>
      <c r="C90" s="196"/>
      <c r="D90" s="235" t="s">
        <v>106</v>
      </c>
      <c r="E90" s="235"/>
      <c r="F90" s="236"/>
      <c r="G90" s="237"/>
      <c r="H90" s="238">
        <v>425622.29</v>
      </c>
      <c r="I90" s="239">
        <v>0.1175650219021336</v>
      </c>
    </row>
    <row r="91" spans="1:9" s="88" customFormat="1" x14ac:dyDescent="0.25">
      <c r="A91" s="240" t="s">
        <v>743</v>
      </c>
      <c r="B91" s="240" t="s">
        <v>645</v>
      </c>
      <c r="C91" s="240" t="s">
        <v>646</v>
      </c>
      <c r="D91" s="241" t="s">
        <v>985</v>
      </c>
      <c r="E91" s="240" t="s">
        <v>27</v>
      </c>
      <c r="F91" s="242">
        <v>4720.5200000000004</v>
      </c>
      <c r="G91" s="243">
        <v>1.1399999999999999</v>
      </c>
      <c r="H91" s="243">
        <v>5381.39</v>
      </c>
      <c r="I91" s="244">
        <v>1.4864429050788733E-3</v>
      </c>
    </row>
    <row r="92" spans="1:9" s="88" customFormat="1" ht="51" x14ac:dyDescent="0.25">
      <c r="A92" s="240" t="s">
        <v>744</v>
      </c>
      <c r="B92" s="240" t="s">
        <v>648</v>
      </c>
      <c r="C92" s="240" t="s">
        <v>551</v>
      </c>
      <c r="D92" s="241" t="s">
        <v>649</v>
      </c>
      <c r="E92" s="240" t="s">
        <v>575</v>
      </c>
      <c r="F92" s="242">
        <v>1348.72</v>
      </c>
      <c r="G92" s="243">
        <v>58.26</v>
      </c>
      <c r="H92" s="243">
        <v>78576.42</v>
      </c>
      <c r="I92" s="244">
        <v>2.1704310970863974E-2</v>
      </c>
    </row>
    <row r="93" spans="1:9" s="88" customFormat="1" ht="25.5" x14ac:dyDescent="0.25">
      <c r="A93" s="240" t="s">
        <v>745</v>
      </c>
      <c r="B93" s="240" t="s">
        <v>651</v>
      </c>
      <c r="C93" s="240" t="s">
        <v>652</v>
      </c>
      <c r="D93" s="241" t="s">
        <v>984</v>
      </c>
      <c r="E93" s="240" t="s">
        <v>33</v>
      </c>
      <c r="F93" s="242">
        <v>1348.72</v>
      </c>
      <c r="G93" s="243">
        <v>7.8</v>
      </c>
      <c r="H93" s="243">
        <v>10520.01</v>
      </c>
      <c r="I93" s="244">
        <v>2.9058280901140409E-3</v>
      </c>
    </row>
    <row r="94" spans="1:9" s="88" customFormat="1" ht="38.25" x14ac:dyDescent="0.25">
      <c r="A94" s="240" t="s">
        <v>746</v>
      </c>
      <c r="B94" s="240" t="s">
        <v>654</v>
      </c>
      <c r="C94" s="240" t="s">
        <v>986</v>
      </c>
      <c r="D94" s="241" t="s">
        <v>655</v>
      </c>
      <c r="E94" s="240" t="s">
        <v>571</v>
      </c>
      <c r="F94" s="242">
        <v>4720.5200000000004</v>
      </c>
      <c r="G94" s="243">
        <v>70.150000000000006</v>
      </c>
      <c r="H94" s="243">
        <v>331144.46999999997</v>
      </c>
      <c r="I94" s="244">
        <v>9.1468439936076701E-2</v>
      </c>
    </row>
    <row r="95" spans="1:9" s="79" customFormat="1" x14ac:dyDescent="0.25">
      <c r="A95" s="196" t="s">
        <v>747</v>
      </c>
      <c r="B95" s="196"/>
      <c r="C95" s="196"/>
      <c r="D95" s="235" t="s">
        <v>112</v>
      </c>
      <c r="E95" s="235"/>
      <c r="F95" s="236"/>
      <c r="G95" s="237"/>
      <c r="H95" s="238">
        <v>42722.9</v>
      </c>
      <c r="I95" s="239">
        <v>1.1800882595276349E-2</v>
      </c>
    </row>
    <row r="96" spans="1:9" s="88" customFormat="1" x14ac:dyDescent="0.25">
      <c r="A96" s="240" t="s">
        <v>748</v>
      </c>
      <c r="B96" s="240" t="s">
        <v>645</v>
      </c>
      <c r="C96" s="240" t="s">
        <v>646</v>
      </c>
      <c r="D96" s="241" t="s">
        <v>985</v>
      </c>
      <c r="E96" s="240" t="s">
        <v>27</v>
      </c>
      <c r="F96" s="242">
        <v>457.86</v>
      </c>
      <c r="G96" s="243">
        <v>1.1399999999999999</v>
      </c>
      <c r="H96" s="243">
        <v>521.96</v>
      </c>
      <c r="I96" s="244">
        <v>1.4417534108008688E-4</v>
      </c>
    </row>
    <row r="97" spans="1:9" s="88" customFormat="1" ht="51" x14ac:dyDescent="0.25">
      <c r="A97" s="240" t="s">
        <v>749</v>
      </c>
      <c r="B97" s="240" t="s">
        <v>648</v>
      </c>
      <c r="C97" s="240" t="s">
        <v>551</v>
      </c>
      <c r="D97" s="241" t="s">
        <v>649</v>
      </c>
      <c r="E97" s="240" t="s">
        <v>575</v>
      </c>
      <c r="F97" s="242">
        <v>152.62</v>
      </c>
      <c r="G97" s="243">
        <v>58.26</v>
      </c>
      <c r="H97" s="243">
        <v>8891.64</v>
      </c>
      <c r="I97" s="244">
        <v>2.4560411329629544E-3</v>
      </c>
    </row>
    <row r="98" spans="1:9" s="88" customFormat="1" ht="25.5" x14ac:dyDescent="0.25">
      <c r="A98" s="240" t="s">
        <v>750</v>
      </c>
      <c r="B98" s="240" t="s">
        <v>651</v>
      </c>
      <c r="C98" s="240" t="s">
        <v>652</v>
      </c>
      <c r="D98" s="241" t="s">
        <v>984</v>
      </c>
      <c r="E98" s="240" t="s">
        <v>33</v>
      </c>
      <c r="F98" s="242">
        <v>152.62</v>
      </c>
      <c r="G98" s="243">
        <v>7.8</v>
      </c>
      <c r="H98" s="243">
        <v>1190.43</v>
      </c>
      <c r="I98" s="244">
        <v>3.2881954801511191E-4</v>
      </c>
    </row>
    <row r="99" spans="1:9" s="88" customFormat="1" ht="38.25" x14ac:dyDescent="0.25">
      <c r="A99" s="240" t="s">
        <v>751</v>
      </c>
      <c r="B99" s="240" t="s">
        <v>654</v>
      </c>
      <c r="C99" s="240" t="s">
        <v>986</v>
      </c>
      <c r="D99" s="241" t="s">
        <v>655</v>
      </c>
      <c r="E99" s="240" t="s">
        <v>571</v>
      </c>
      <c r="F99" s="242">
        <v>457.86</v>
      </c>
      <c r="G99" s="243">
        <v>70.150000000000006</v>
      </c>
      <c r="H99" s="243">
        <v>32118.87</v>
      </c>
      <c r="I99" s="244">
        <v>8.8718465732181961E-3</v>
      </c>
    </row>
    <row r="100" spans="1:9" s="79" customFormat="1" x14ac:dyDescent="0.25">
      <c r="A100" s="196" t="s">
        <v>752</v>
      </c>
      <c r="B100" s="196"/>
      <c r="C100" s="196"/>
      <c r="D100" s="235" t="s">
        <v>399</v>
      </c>
      <c r="E100" s="235"/>
      <c r="F100" s="236"/>
      <c r="G100" s="237"/>
      <c r="H100" s="238">
        <v>58393.98</v>
      </c>
      <c r="I100" s="239">
        <v>1.6129534798689116E-2</v>
      </c>
    </row>
    <row r="101" spans="1:9" s="88" customFormat="1" x14ac:dyDescent="0.25">
      <c r="A101" s="240" t="s">
        <v>753</v>
      </c>
      <c r="B101" s="240" t="s">
        <v>645</v>
      </c>
      <c r="C101" s="240" t="s">
        <v>646</v>
      </c>
      <c r="D101" s="241" t="s">
        <v>985</v>
      </c>
      <c r="E101" s="240" t="s">
        <v>27</v>
      </c>
      <c r="F101" s="242">
        <v>647.64</v>
      </c>
      <c r="G101" s="243">
        <v>1.1399999999999999</v>
      </c>
      <c r="H101" s="243">
        <v>738.3</v>
      </c>
      <c r="I101" s="244">
        <v>2.0393258931609347E-4</v>
      </c>
    </row>
    <row r="102" spans="1:9" s="88" customFormat="1" ht="51" x14ac:dyDescent="0.25">
      <c r="A102" s="240" t="s">
        <v>754</v>
      </c>
      <c r="B102" s="240" t="s">
        <v>648</v>
      </c>
      <c r="C102" s="240" t="s">
        <v>551</v>
      </c>
      <c r="D102" s="241" t="s">
        <v>649</v>
      </c>
      <c r="E102" s="240" t="s">
        <v>575</v>
      </c>
      <c r="F102" s="242">
        <v>185.04</v>
      </c>
      <c r="G102" s="243">
        <v>58.26</v>
      </c>
      <c r="H102" s="243">
        <v>10780.43</v>
      </c>
      <c r="I102" s="244">
        <v>2.9777610779370086E-3</v>
      </c>
    </row>
    <row r="103" spans="1:9" s="88" customFormat="1" ht="25.5" x14ac:dyDescent="0.25">
      <c r="A103" s="240" t="s">
        <v>755</v>
      </c>
      <c r="B103" s="240" t="s">
        <v>651</v>
      </c>
      <c r="C103" s="240" t="s">
        <v>652</v>
      </c>
      <c r="D103" s="241" t="s">
        <v>984</v>
      </c>
      <c r="E103" s="240" t="s">
        <v>33</v>
      </c>
      <c r="F103" s="242">
        <v>185.04</v>
      </c>
      <c r="G103" s="243">
        <v>7.8</v>
      </c>
      <c r="H103" s="243">
        <v>1443.31</v>
      </c>
      <c r="I103" s="244">
        <v>3.9866984354030996E-4</v>
      </c>
    </row>
    <row r="104" spans="1:9" s="88" customFormat="1" ht="38.25" x14ac:dyDescent="0.25">
      <c r="A104" s="240" t="s">
        <v>756</v>
      </c>
      <c r="B104" s="240" t="s">
        <v>654</v>
      </c>
      <c r="C104" s="240" t="s">
        <v>986</v>
      </c>
      <c r="D104" s="241" t="s">
        <v>655</v>
      </c>
      <c r="E104" s="240" t="s">
        <v>571</v>
      </c>
      <c r="F104" s="242">
        <v>647.64</v>
      </c>
      <c r="G104" s="243">
        <v>70.150000000000006</v>
      </c>
      <c r="H104" s="243">
        <v>45431.94</v>
      </c>
      <c r="I104" s="244">
        <v>1.2549171287895705E-2</v>
      </c>
    </row>
    <row r="105" spans="1:9" s="79" customFormat="1" ht="25.5" x14ac:dyDescent="0.25">
      <c r="A105" s="196" t="s">
        <v>757</v>
      </c>
      <c r="B105" s="196"/>
      <c r="C105" s="196"/>
      <c r="D105" s="235" t="s">
        <v>758</v>
      </c>
      <c r="E105" s="235"/>
      <c r="F105" s="236"/>
      <c r="G105" s="237"/>
      <c r="H105" s="238">
        <v>439680.25</v>
      </c>
      <c r="I105" s="239">
        <v>0.12144809949024421</v>
      </c>
    </row>
    <row r="106" spans="1:9" s="79" customFormat="1" ht="25.5" x14ac:dyDescent="0.25">
      <c r="A106" s="196" t="s">
        <v>759</v>
      </c>
      <c r="B106" s="196"/>
      <c r="C106" s="196"/>
      <c r="D106" s="235" t="s">
        <v>760</v>
      </c>
      <c r="E106" s="235"/>
      <c r="F106" s="236"/>
      <c r="G106" s="237"/>
      <c r="H106" s="238">
        <v>46037.26</v>
      </c>
      <c r="I106" s="239">
        <v>1.2716372256289065E-2</v>
      </c>
    </row>
    <row r="107" spans="1:9" s="88" customFormat="1" x14ac:dyDescent="0.25">
      <c r="A107" s="240" t="s">
        <v>761</v>
      </c>
      <c r="B107" s="240" t="s">
        <v>645</v>
      </c>
      <c r="C107" s="240" t="s">
        <v>646</v>
      </c>
      <c r="D107" s="241" t="s">
        <v>985</v>
      </c>
      <c r="E107" s="240" t="s">
        <v>27</v>
      </c>
      <c r="F107" s="242">
        <v>493.38</v>
      </c>
      <c r="G107" s="243">
        <v>1.1399999999999999</v>
      </c>
      <c r="H107" s="243">
        <v>562.45000000000005</v>
      </c>
      <c r="I107" s="244">
        <v>1.5535945396293751E-4</v>
      </c>
    </row>
    <row r="108" spans="1:9" s="88" customFormat="1" ht="51" x14ac:dyDescent="0.25">
      <c r="A108" s="240" t="s">
        <v>762</v>
      </c>
      <c r="B108" s="240" t="s">
        <v>648</v>
      </c>
      <c r="C108" s="240" t="s">
        <v>551</v>
      </c>
      <c r="D108" s="241" t="s">
        <v>649</v>
      </c>
      <c r="E108" s="240" t="s">
        <v>575</v>
      </c>
      <c r="F108" s="242">
        <v>164.46</v>
      </c>
      <c r="G108" s="243">
        <v>58.26</v>
      </c>
      <c r="H108" s="243">
        <v>9581.43</v>
      </c>
      <c r="I108" s="244">
        <v>2.6465743319123627E-3</v>
      </c>
    </row>
    <row r="109" spans="1:9" s="88" customFormat="1" ht="25.5" x14ac:dyDescent="0.25">
      <c r="A109" s="240" t="s">
        <v>763</v>
      </c>
      <c r="B109" s="240" t="s">
        <v>651</v>
      </c>
      <c r="C109" s="240" t="s">
        <v>652</v>
      </c>
      <c r="D109" s="241" t="s">
        <v>984</v>
      </c>
      <c r="E109" s="240" t="s">
        <v>33</v>
      </c>
      <c r="F109" s="242">
        <v>164.46</v>
      </c>
      <c r="G109" s="243">
        <v>7.8</v>
      </c>
      <c r="H109" s="243">
        <v>1282.78</v>
      </c>
      <c r="I109" s="244">
        <v>3.543283853757258E-4</v>
      </c>
    </row>
    <row r="110" spans="1:9" s="88" customFormat="1" ht="38.25" x14ac:dyDescent="0.25">
      <c r="A110" s="240" t="s">
        <v>764</v>
      </c>
      <c r="B110" s="240" t="s">
        <v>654</v>
      </c>
      <c r="C110" s="240" t="s">
        <v>986</v>
      </c>
      <c r="D110" s="241" t="s">
        <v>655</v>
      </c>
      <c r="E110" s="240" t="s">
        <v>571</v>
      </c>
      <c r="F110" s="242">
        <v>493.38</v>
      </c>
      <c r="G110" s="243">
        <v>70.150000000000006</v>
      </c>
      <c r="H110" s="243">
        <v>34610.6</v>
      </c>
      <c r="I110" s="244">
        <v>9.5601100850380392E-3</v>
      </c>
    </row>
    <row r="111" spans="1:9" s="79" customFormat="1" x14ac:dyDescent="0.25">
      <c r="A111" s="196" t="s">
        <v>765</v>
      </c>
      <c r="B111" s="196"/>
      <c r="C111" s="196"/>
      <c r="D111" s="235" t="s">
        <v>766</v>
      </c>
      <c r="E111" s="235"/>
      <c r="F111" s="236"/>
      <c r="G111" s="237"/>
      <c r="H111" s="238">
        <v>43579.48</v>
      </c>
      <c r="I111" s="239">
        <v>1.2037486384191939E-2</v>
      </c>
    </row>
    <row r="112" spans="1:9" s="88" customFormat="1" x14ac:dyDescent="0.25">
      <c r="A112" s="240" t="s">
        <v>767</v>
      </c>
      <c r="B112" s="240" t="s">
        <v>645</v>
      </c>
      <c r="C112" s="240" t="s">
        <v>646</v>
      </c>
      <c r="D112" s="241" t="s">
        <v>985</v>
      </c>
      <c r="E112" s="240" t="s">
        <v>27</v>
      </c>
      <c r="F112" s="242">
        <v>467.04</v>
      </c>
      <c r="G112" s="243">
        <v>1.1399999999999999</v>
      </c>
      <c r="H112" s="243">
        <v>532.41999999999996</v>
      </c>
      <c r="I112" s="244">
        <v>1.4706459325975144E-4</v>
      </c>
    </row>
    <row r="113" spans="1:9" s="88" customFormat="1" ht="51" x14ac:dyDescent="0.25">
      <c r="A113" s="240" t="s">
        <v>768</v>
      </c>
      <c r="B113" s="240" t="s">
        <v>648</v>
      </c>
      <c r="C113" s="240" t="s">
        <v>551</v>
      </c>
      <c r="D113" s="241" t="s">
        <v>649</v>
      </c>
      <c r="E113" s="240" t="s">
        <v>575</v>
      </c>
      <c r="F113" s="242">
        <v>155.68</v>
      </c>
      <c r="G113" s="243">
        <v>58.26</v>
      </c>
      <c r="H113" s="243">
        <v>9069.91</v>
      </c>
      <c r="I113" s="244">
        <v>2.5052827186291876E-3</v>
      </c>
    </row>
    <row r="114" spans="1:9" s="88" customFormat="1" ht="25.5" x14ac:dyDescent="0.25">
      <c r="A114" s="240" t="s">
        <v>769</v>
      </c>
      <c r="B114" s="240" t="s">
        <v>651</v>
      </c>
      <c r="C114" s="240" t="s">
        <v>652</v>
      </c>
      <c r="D114" s="241" t="s">
        <v>984</v>
      </c>
      <c r="E114" s="240" t="s">
        <v>33</v>
      </c>
      <c r="F114" s="242">
        <v>155.68</v>
      </c>
      <c r="G114" s="243">
        <v>7.8</v>
      </c>
      <c r="H114" s="243">
        <v>1214.3</v>
      </c>
      <c r="I114" s="244">
        <v>3.3541289883046497E-4</v>
      </c>
    </row>
    <row r="115" spans="1:9" s="88" customFormat="1" ht="38.25" x14ac:dyDescent="0.25">
      <c r="A115" s="240" t="s">
        <v>770</v>
      </c>
      <c r="B115" s="240" t="s">
        <v>654</v>
      </c>
      <c r="C115" s="240" t="s">
        <v>986</v>
      </c>
      <c r="D115" s="241" t="s">
        <v>655</v>
      </c>
      <c r="E115" s="240" t="s">
        <v>571</v>
      </c>
      <c r="F115" s="242">
        <v>467.04</v>
      </c>
      <c r="G115" s="243">
        <v>70.150000000000006</v>
      </c>
      <c r="H115" s="243">
        <v>32762.85</v>
      </c>
      <c r="I115" s="244">
        <v>9.0497261734725342E-3</v>
      </c>
    </row>
    <row r="116" spans="1:9" s="79" customFormat="1" ht="25.5" x14ac:dyDescent="0.25">
      <c r="A116" s="196" t="s">
        <v>771</v>
      </c>
      <c r="B116" s="196"/>
      <c r="C116" s="196"/>
      <c r="D116" s="235" t="s">
        <v>772</v>
      </c>
      <c r="E116" s="235"/>
      <c r="F116" s="236"/>
      <c r="G116" s="237"/>
      <c r="H116" s="238">
        <v>40136.339999999997</v>
      </c>
      <c r="I116" s="239">
        <v>1.1086425222634559E-2</v>
      </c>
    </row>
    <row r="117" spans="1:9" s="88" customFormat="1" x14ac:dyDescent="0.25">
      <c r="A117" s="240" t="s">
        <v>773</v>
      </c>
      <c r="B117" s="240" t="s">
        <v>645</v>
      </c>
      <c r="C117" s="240" t="s">
        <v>646</v>
      </c>
      <c r="D117" s="241" t="s">
        <v>985</v>
      </c>
      <c r="E117" s="240" t="s">
        <v>27</v>
      </c>
      <c r="F117" s="242">
        <v>430.14</v>
      </c>
      <c r="G117" s="243">
        <v>1.1399999999999999</v>
      </c>
      <c r="H117" s="243">
        <v>490.35</v>
      </c>
      <c r="I117" s="244">
        <v>1.3544405413943713E-4</v>
      </c>
    </row>
    <row r="118" spans="1:9" s="88" customFormat="1" ht="51" x14ac:dyDescent="0.25">
      <c r="A118" s="240" t="s">
        <v>774</v>
      </c>
      <c r="B118" s="240" t="s">
        <v>648</v>
      </c>
      <c r="C118" s="240" t="s">
        <v>551</v>
      </c>
      <c r="D118" s="241" t="s">
        <v>649</v>
      </c>
      <c r="E118" s="240" t="s">
        <v>575</v>
      </c>
      <c r="F118" s="242">
        <v>143.38</v>
      </c>
      <c r="G118" s="243">
        <v>58.26</v>
      </c>
      <c r="H118" s="243">
        <v>8353.31</v>
      </c>
      <c r="I118" s="244">
        <v>2.3073440845997788E-3</v>
      </c>
    </row>
    <row r="119" spans="1:9" s="88" customFormat="1" ht="25.5" x14ac:dyDescent="0.25">
      <c r="A119" s="240" t="s">
        <v>775</v>
      </c>
      <c r="B119" s="240" t="s">
        <v>651</v>
      </c>
      <c r="C119" s="240" t="s">
        <v>652</v>
      </c>
      <c r="D119" s="241" t="s">
        <v>984</v>
      </c>
      <c r="E119" s="240" t="s">
        <v>33</v>
      </c>
      <c r="F119" s="242">
        <v>143.38</v>
      </c>
      <c r="G119" s="243">
        <v>7.8</v>
      </c>
      <c r="H119" s="243">
        <v>1118.3599999999999</v>
      </c>
      <c r="I119" s="244">
        <v>3.0891243476574061E-4</v>
      </c>
    </row>
    <row r="120" spans="1:9" s="88" customFormat="1" ht="38.25" x14ac:dyDescent="0.25">
      <c r="A120" s="240" t="s">
        <v>776</v>
      </c>
      <c r="B120" s="240" t="s">
        <v>654</v>
      </c>
      <c r="C120" s="240" t="s">
        <v>986</v>
      </c>
      <c r="D120" s="241" t="s">
        <v>655</v>
      </c>
      <c r="E120" s="240" t="s">
        <v>571</v>
      </c>
      <c r="F120" s="242">
        <v>430.14</v>
      </c>
      <c r="G120" s="243">
        <v>70.150000000000006</v>
      </c>
      <c r="H120" s="243">
        <v>30174.32</v>
      </c>
      <c r="I120" s="244">
        <v>8.3347246491296025E-3</v>
      </c>
    </row>
    <row r="121" spans="1:9" s="79" customFormat="1" x14ac:dyDescent="0.25">
      <c r="A121" s="196" t="s">
        <v>777</v>
      </c>
      <c r="B121" s="196"/>
      <c r="C121" s="196"/>
      <c r="D121" s="235" t="s">
        <v>778</v>
      </c>
      <c r="E121" s="235"/>
      <c r="F121" s="236"/>
      <c r="G121" s="237"/>
      <c r="H121" s="238">
        <v>33446.019999999997</v>
      </c>
      <c r="I121" s="239">
        <v>9.2384308017307987E-3</v>
      </c>
    </row>
    <row r="122" spans="1:9" s="88" customFormat="1" x14ac:dyDescent="0.25">
      <c r="A122" s="240" t="s">
        <v>779</v>
      </c>
      <c r="B122" s="240" t="s">
        <v>645</v>
      </c>
      <c r="C122" s="240" t="s">
        <v>646</v>
      </c>
      <c r="D122" s="241" t="s">
        <v>985</v>
      </c>
      <c r="E122" s="240" t="s">
        <v>27</v>
      </c>
      <c r="F122" s="242">
        <v>358.44</v>
      </c>
      <c r="G122" s="243">
        <v>1.1399999999999999</v>
      </c>
      <c r="H122" s="243">
        <v>408.62</v>
      </c>
      <c r="I122" s="244">
        <v>1.1286866402050943E-4</v>
      </c>
    </row>
    <row r="123" spans="1:9" s="88" customFormat="1" ht="51" x14ac:dyDescent="0.25">
      <c r="A123" s="240" t="s">
        <v>780</v>
      </c>
      <c r="B123" s="240" t="s">
        <v>648</v>
      </c>
      <c r="C123" s="240" t="s">
        <v>551</v>
      </c>
      <c r="D123" s="241" t="s">
        <v>649</v>
      </c>
      <c r="E123" s="240" t="s">
        <v>575</v>
      </c>
      <c r="F123" s="242">
        <v>119.48</v>
      </c>
      <c r="G123" s="243">
        <v>58.26</v>
      </c>
      <c r="H123" s="243">
        <v>6960.9</v>
      </c>
      <c r="I123" s="244">
        <v>1.9227337951651022E-3</v>
      </c>
    </row>
    <row r="124" spans="1:9" s="88" customFormat="1" ht="25.5" x14ac:dyDescent="0.25">
      <c r="A124" s="240" t="s">
        <v>781</v>
      </c>
      <c r="B124" s="240" t="s">
        <v>651</v>
      </c>
      <c r="C124" s="240" t="s">
        <v>652</v>
      </c>
      <c r="D124" s="241" t="s">
        <v>984</v>
      </c>
      <c r="E124" s="240" t="s">
        <v>33</v>
      </c>
      <c r="F124" s="242">
        <v>119.48</v>
      </c>
      <c r="G124" s="243">
        <v>7.8</v>
      </c>
      <c r="H124" s="243">
        <v>931.94</v>
      </c>
      <c r="I124" s="244">
        <v>2.5741966312778022E-4</v>
      </c>
    </row>
    <row r="125" spans="1:9" s="88" customFormat="1" ht="38.25" x14ac:dyDescent="0.25">
      <c r="A125" s="240" t="s">
        <v>782</v>
      </c>
      <c r="B125" s="240" t="s">
        <v>654</v>
      </c>
      <c r="C125" s="240" t="s">
        <v>986</v>
      </c>
      <c r="D125" s="241" t="s">
        <v>655</v>
      </c>
      <c r="E125" s="240" t="s">
        <v>571</v>
      </c>
      <c r="F125" s="242">
        <v>358.44</v>
      </c>
      <c r="G125" s="243">
        <v>70.150000000000006</v>
      </c>
      <c r="H125" s="243">
        <v>25144.560000000001</v>
      </c>
      <c r="I125" s="244">
        <v>6.9454086794174062E-3</v>
      </c>
    </row>
    <row r="126" spans="1:9" s="79" customFormat="1" x14ac:dyDescent="0.25">
      <c r="A126" s="196" t="s">
        <v>783</v>
      </c>
      <c r="B126" s="196"/>
      <c r="C126" s="196"/>
      <c r="D126" s="235" t="s">
        <v>411</v>
      </c>
      <c r="E126" s="235"/>
      <c r="F126" s="236"/>
      <c r="G126" s="237"/>
      <c r="H126" s="238">
        <v>35943</v>
      </c>
      <c r="I126" s="239">
        <v>9.928144464023226E-3</v>
      </c>
    </row>
    <row r="127" spans="1:9" s="88" customFormat="1" x14ac:dyDescent="0.25">
      <c r="A127" s="240" t="s">
        <v>784</v>
      </c>
      <c r="B127" s="240" t="s">
        <v>645</v>
      </c>
      <c r="C127" s="240" t="s">
        <v>646</v>
      </c>
      <c r="D127" s="241" t="s">
        <v>985</v>
      </c>
      <c r="E127" s="240" t="s">
        <v>27</v>
      </c>
      <c r="F127" s="242">
        <v>385.2</v>
      </c>
      <c r="G127" s="243">
        <v>1.1399999999999999</v>
      </c>
      <c r="H127" s="243">
        <v>439.12</v>
      </c>
      <c r="I127" s="244">
        <v>1.2129334771838407E-4</v>
      </c>
    </row>
    <row r="128" spans="1:9" s="88" customFormat="1" ht="51" x14ac:dyDescent="0.25">
      <c r="A128" s="240" t="s">
        <v>785</v>
      </c>
      <c r="B128" s="240" t="s">
        <v>648</v>
      </c>
      <c r="C128" s="240" t="s">
        <v>551</v>
      </c>
      <c r="D128" s="241" t="s">
        <v>649</v>
      </c>
      <c r="E128" s="240" t="s">
        <v>575</v>
      </c>
      <c r="F128" s="242">
        <v>128.4</v>
      </c>
      <c r="G128" s="243">
        <v>58.26</v>
      </c>
      <c r="H128" s="243">
        <v>7480.58</v>
      </c>
      <c r="I128" s="244">
        <v>2.0662793566113809E-3</v>
      </c>
    </row>
    <row r="129" spans="1:9" s="88" customFormat="1" ht="25.5" x14ac:dyDescent="0.25">
      <c r="A129" s="240" t="s">
        <v>786</v>
      </c>
      <c r="B129" s="240" t="s">
        <v>651</v>
      </c>
      <c r="C129" s="240" t="s">
        <v>652</v>
      </c>
      <c r="D129" s="241" t="s">
        <v>984</v>
      </c>
      <c r="E129" s="240" t="s">
        <v>33</v>
      </c>
      <c r="F129" s="242">
        <v>128.4</v>
      </c>
      <c r="G129" s="243">
        <v>7.8</v>
      </c>
      <c r="H129" s="243">
        <v>1001.52</v>
      </c>
      <c r="I129" s="244">
        <v>2.7663899072443983E-4</v>
      </c>
    </row>
    <row r="130" spans="1:9" s="88" customFormat="1" ht="38.25" x14ac:dyDescent="0.25">
      <c r="A130" s="240" t="s">
        <v>787</v>
      </c>
      <c r="B130" s="240" t="s">
        <v>654</v>
      </c>
      <c r="C130" s="240" t="s">
        <v>986</v>
      </c>
      <c r="D130" s="241" t="s">
        <v>655</v>
      </c>
      <c r="E130" s="240" t="s">
        <v>571</v>
      </c>
      <c r="F130" s="242">
        <v>385.2</v>
      </c>
      <c r="G130" s="243">
        <v>70.150000000000006</v>
      </c>
      <c r="H130" s="243">
        <v>27021.78</v>
      </c>
      <c r="I130" s="244">
        <v>7.4639327689690208E-3</v>
      </c>
    </row>
    <row r="131" spans="1:9" s="79" customFormat="1" x14ac:dyDescent="0.25">
      <c r="A131" s="196" t="s">
        <v>788</v>
      </c>
      <c r="B131" s="196"/>
      <c r="C131" s="196"/>
      <c r="D131" s="235" t="s">
        <v>405</v>
      </c>
      <c r="E131" s="235"/>
      <c r="F131" s="236"/>
      <c r="G131" s="237"/>
      <c r="H131" s="238">
        <v>89577.600000000006</v>
      </c>
      <c r="I131" s="239">
        <v>2.4743047423433962E-2</v>
      </c>
    </row>
    <row r="132" spans="1:9" s="88" customFormat="1" x14ac:dyDescent="0.25">
      <c r="A132" s="240" t="s">
        <v>789</v>
      </c>
      <c r="B132" s="240" t="s">
        <v>645</v>
      </c>
      <c r="C132" s="240" t="s">
        <v>646</v>
      </c>
      <c r="D132" s="241" t="s">
        <v>985</v>
      </c>
      <c r="E132" s="240" t="s">
        <v>27</v>
      </c>
      <c r="F132" s="242">
        <v>960</v>
      </c>
      <c r="G132" s="243">
        <v>1.1399999999999999</v>
      </c>
      <c r="H132" s="243">
        <v>1094.4000000000001</v>
      </c>
      <c r="I132" s="244">
        <v>3.0229422422800036E-4</v>
      </c>
    </row>
    <row r="133" spans="1:9" s="88" customFormat="1" ht="51" x14ac:dyDescent="0.25">
      <c r="A133" s="240" t="s">
        <v>790</v>
      </c>
      <c r="B133" s="240" t="s">
        <v>648</v>
      </c>
      <c r="C133" s="240" t="s">
        <v>551</v>
      </c>
      <c r="D133" s="241" t="s">
        <v>649</v>
      </c>
      <c r="E133" s="240" t="s">
        <v>575</v>
      </c>
      <c r="F133" s="242">
        <v>320</v>
      </c>
      <c r="G133" s="243">
        <v>58.26</v>
      </c>
      <c r="H133" s="243">
        <v>18643.2</v>
      </c>
      <c r="I133" s="244">
        <v>5.1496086267611993E-3</v>
      </c>
    </row>
    <row r="134" spans="1:9" s="88" customFormat="1" ht="25.5" x14ac:dyDescent="0.25">
      <c r="A134" s="240" t="s">
        <v>791</v>
      </c>
      <c r="B134" s="240" t="s">
        <v>651</v>
      </c>
      <c r="C134" s="240" t="s">
        <v>652</v>
      </c>
      <c r="D134" s="241" t="s">
        <v>984</v>
      </c>
      <c r="E134" s="240" t="s">
        <v>33</v>
      </c>
      <c r="F134" s="242">
        <v>320</v>
      </c>
      <c r="G134" s="243">
        <v>7.8</v>
      </c>
      <c r="H134" s="243">
        <v>2496</v>
      </c>
      <c r="I134" s="244">
        <v>6.8944296753754473E-4</v>
      </c>
    </row>
    <row r="135" spans="1:9" s="88" customFormat="1" ht="38.25" x14ac:dyDescent="0.25">
      <c r="A135" s="240" t="s">
        <v>792</v>
      </c>
      <c r="B135" s="240" t="s">
        <v>654</v>
      </c>
      <c r="C135" s="240" t="s">
        <v>986</v>
      </c>
      <c r="D135" s="241" t="s">
        <v>655</v>
      </c>
      <c r="E135" s="240" t="s">
        <v>571</v>
      </c>
      <c r="F135" s="242">
        <v>960</v>
      </c>
      <c r="G135" s="243">
        <v>70.150000000000006</v>
      </c>
      <c r="H135" s="243">
        <v>67344</v>
      </c>
      <c r="I135" s="244">
        <v>1.8601701604907216E-2</v>
      </c>
    </row>
    <row r="136" spans="1:9" s="79" customFormat="1" x14ac:dyDescent="0.25">
      <c r="A136" s="196" t="s">
        <v>793</v>
      </c>
      <c r="B136" s="196"/>
      <c r="C136" s="196"/>
      <c r="D136" s="235" t="s">
        <v>417</v>
      </c>
      <c r="E136" s="235"/>
      <c r="F136" s="236"/>
      <c r="G136" s="237"/>
      <c r="H136" s="238">
        <v>24544.240000000002</v>
      </c>
      <c r="I136" s="239">
        <v>6.7795888067122227E-3</v>
      </c>
    </row>
    <row r="137" spans="1:9" s="88" customFormat="1" x14ac:dyDescent="0.25">
      <c r="A137" s="240" t="s">
        <v>794</v>
      </c>
      <c r="B137" s="240" t="s">
        <v>645</v>
      </c>
      <c r="C137" s="240" t="s">
        <v>646</v>
      </c>
      <c r="D137" s="241" t="s">
        <v>985</v>
      </c>
      <c r="E137" s="240" t="s">
        <v>27</v>
      </c>
      <c r="F137" s="242">
        <v>263.04000000000002</v>
      </c>
      <c r="G137" s="243">
        <v>1.1399999999999999</v>
      </c>
      <c r="H137" s="243">
        <v>299.86</v>
      </c>
      <c r="I137" s="244">
        <v>8.282707061130135E-5</v>
      </c>
    </row>
    <row r="138" spans="1:9" s="88" customFormat="1" ht="51" x14ac:dyDescent="0.25">
      <c r="A138" s="240" t="s">
        <v>795</v>
      </c>
      <c r="B138" s="240" t="s">
        <v>648</v>
      </c>
      <c r="C138" s="240" t="s">
        <v>551</v>
      </c>
      <c r="D138" s="241" t="s">
        <v>649</v>
      </c>
      <c r="E138" s="240" t="s">
        <v>575</v>
      </c>
      <c r="F138" s="242">
        <v>87.68</v>
      </c>
      <c r="G138" s="243">
        <v>58.26</v>
      </c>
      <c r="H138" s="243">
        <v>5108.2299999999996</v>
      </c>
      <c r="I138" s="244">
        <v>1.4109908854424327E-3</v>
      </c>
    </row>
    <row r="139" spans="1:9" s="88" customFormat="1" ht="25.5" x14ac:dyDescent="0.25">
      <c r="A139" s="240" t="s">
        <v>796</v>
      </c>
      <c r="B139" s="240" t="s">
        <v>651</v>
      </c>
      <c r="C139" s="240" t="s">
        <v>652</v>
      </c>
      <c r="D139" s="241" t="s">
        <v>984</v>
      </c>
      <c r="E139" s="240" t="s">
        <v>33</v>
      </c>
      <c r="F139" s="242">
        <v>87.68</v>
      </c>
      <c r="G139" s="243">
        <v>7.8</v>
      </c>
      <c r="H139" s="243">
        <v>683.9</v>
      </c>
      <c r="I139" s="244">
        <v>1.8890626822873672E-4</v>
      </c>
    </row>
    <row r="140" spans="1:9" s="88" customFormat="1" ht="38.25" x14ac:dyDescent="0.25">
      <c r="A140" s="240" t="s">
        <v>797</v>
      </c>
      <c r="B140" s="240" t="s">
        <v>654</v>
      </c>
      <c r="C140" s="240" t="s">
        <v>986</v>
      </c>
      <c r="D140" s="241" t="s">
        <v>655</v>
      </c>
      <c r="E140" s="240" t="s">
        <v>571</v>
      </c>
      <c r="F140" s="242">
        <v>263.04000000000002</v>
      </c>
      <c r="G140" s="243">
        <v>70.150000000000006</v>
      </c>
      <c r="H140" s="243">
        <v>18452.25</v>
      </c>
      <c r="I140" s="244">
        <v>5.0968645824297516E-3</v>
      </c>
    </row>
    <row r="141" spans="1:9" s="79" customFormat="1" x14ac:dyDescent="0.25">
      <c r="A141" s="196" t="s">
        <v>798</v>
      </c>
      <c r="B141" s="196"/>
      <c r="C141" s="196"/>
      <c r="D141" s="235" t="s">
        <v>423</v>
      </c>
      <c r="E141" s="235"/>
      <c r="F141" s="236"/>
      <c r="G141" s="237"/>
      <c r="H141" s="238">
        <v>50796.07</v>
      </c>
      <c r="I141" s="239">
        <v>1.4030846650658995E-2</v>
      </c>
    </row>
    <row r="142" spans="1:9" s="88" customFormat="1" x14ac:dyDescent="0.25">
      <c r="A142" s="240" t="s">
        <v>799</v>
      </c>
      <c r="B142" s="240" t="s">
        <v>645</v>
      </c>
      <c r="C142" s="240" t="s">
        <v>646</v>
      </c>
      <c r="D142" s="241" t="s">
        <v>985</v>
      </c>
      <c r="E142" s="240" t="s">
        <v>27</v>
      </c>
      <c r="F142" s="242">
        <v>544.38</v>
      </c>
      <c r="G142" s="243">
        <v>1.1399999999999999</v>
      </c>
      <c r="H142" s="243">
        <v>620.59</v>
      </c>
      <c r="I142" s="244">
        <v>1.7141883462505004E-4</v>
      </c>
    </row>
    <row r="143" spans="1:9" s="88" customFormat="1" ht="51" x14ac:dyDescent="0.25">
      <c r="A143" s="240" t="s">
        <v>800</v>
      </c>
      <c r="B143" s="240" t="s">
        <v>648</v>
      </c>
      <c r="C143" s="240" t="s">
        <v>551</v>
      </c>
      <c r="D143" s="241" t="s">
        <v>649</v>
      </c>
      <c r="E143" s="240" t="s">
        <v>575</v>
      </c>
      <c r="F143" s="242">
        <v>181.46</v>
      </c>
      <c r="G143" s="243">
        <v>58.26</v>
      </c>
      <c r="H143" s="243">
        <v>10571.85</v>
      </c>
      <c r="I143" s="244">
        <v>2.9201472902090513E-3</v>
      </c>
    </row>
    <row r="144" spans="1:9" s="88" customFormat="1" ht="25.5" x14ac:dyDescent="0.25">
      <c r="A144" s="240" t="s">
        <v>801</v>
      </c>
      <c r="B144" s="240" t="s">
        <v>651</v>
      </c>
      <c r="C144" s="240" t="s">
        <v>652</v>
      </c>
      <c r="D144" s="241" t="s">
        <v>984</v>
      </c>
      <c r="E144" s="240" t="s">
        <v>33</v>
      </c>
      <c r="F144" s="242">
        <v>181.46</v>
      </c>
      <c r="G144" s="243">
        <v>7.8</v>
      </c>
      <c r="H144" s="243">
        <v>1415.38</v>
      </c>
      <c r="I144" s="244">
        <v>3.909550430261579E-4</v>
      </c>
    </row>
    <row r="145" spans="1:9" s="88" customFormat="1" ht="38.25" x14ac:dyDescent="0.25">
      <c r="A145" s="240" t="s">
        <v>802</v>
      </c>
      <c r="B145" s="240" t="s">
        <v>654</v>
      </c>
      <c r="C145" s="240" t="s">
        <v>986</v>
      </c>
      <c r="D145" s="241" t="s">
        <v>655</v>
      </c>
      <c r="E145" s="240" t="s">
        <v>571</v>
      </c>
      <c r="F145" s="242">
        <v>544.38</v>
      </c>
      <c r="G145" s="243">
        <v>70.150000000000006</v>
      </c>
      <c r="H145" s="243">
        <v>38188.25</v>
      </c>
      <c r="I145" s="244">
        <v>1.0548325482798736E-2</v>
      </c>
    </row>
    <row r="146" spans="1:9" s="79" customFormat="1" x14ac:dyDescent="0.25">
      <c r="A146" s="196" t="s">
        <v>803</v>
      </c>
      <c r="B146" s="196"/>
      <c r="C146" s="196"/>
      <c r="D146" s="235" t="s">
        <v>804</v>
      </c>
      <c r="E146" s="235"/>
      <c r="F146" s="236"/>
      <c r="G146" s="237"/>
      <c r="H146" s="238">
        <v>50796.07</v>
      </c>
      <c r="I146" s="239">
        <v>1.4030846650658995E-2</v>
      </c>
    </row>
    <row r="147" spans="1:9" s="88" customFormat="1" x14ac:dyDescent="0.25">
      <c r="A147" s="240" t="s">
        <v>805</v>
      </c>
      <c r="B147" s="240" t="s">
        <v>645</v>
      </c>
      <c r="C147" s="240" t="s">
        <v>646</v>
      </c>
      <c r="D147" s="241" t="s">
        <v>985</v>
      </c>
      <c r="E147" s="240" t="s">
        <v>27</v>
      </c>
      <c r="F147" s="242">
        <v>544.38</v>
      </c>
      <c r="G147" s="243">
        <v>1.1399999999999999</v>
      </c>
      <c r="H147" s="243">
        <v>620.59</v>
      </c>
      <c r="I147" s="244">
        <v>1.7141883462505004E-4</v>
      </c>
    </row>
    <row r="148" spans="1:9" s="88" customFormat="1" ht="51" x14ac:dyDescent="0.25">
      <c r="A148" s="240" t="s">
        <v>806</v>
      </c>
      <c r="B148" s="240" t="s">
        <v>648</v>
      </c>
      <c r="C148" s="240" t="s">
        <v>551</v>
      </c>
      <c r="D148" s="241" t="s">
        <v>649</v>
      </c>
      <c r="E148" s="240" t="s">
        <v>575</v>
      </c>
      <c r="F148" s="242">
        <v>181.46</v>
      </c>
      <c r="G148" s="243">
        <v>58.26</v>
      </c>
      <c r="H148" s="243">
        <v>10571.85</v>
      </c>
      <c r="I148" s="244">
        <v>2.9201472902090513E-3</v>
      </c>
    </row>
    <row r="149" spans="1:9" s="88" customFormat="1" ht="25.5" x14ac:dyDescent="0.25">
      <c r="A149" s="240" t="s">
        <v>807</v>
      </c>
      <c r="B149" s="240" t="s">
        <v>651</v>
      </c>
      <c r="C149" s="240" t="s">
        <v>652</v>
      </c>
      <c r="D149" s="241" t="s">
        <v>984</v>
      </c>
      <c r="E149" s="240" t="s">
        <v>33</v>
      </c>
      <c r="F149" s="242">
        <v>181.46</v>
      </c>
      <c r="G149" s="243">
        <v>7.8</v>
      </c>
      <c r="H149" s="243">
        <v>1415.38</v>
      </c>
      <c r="I149" s="244">
        <v>3.909550430261579E-4</v>
      </c>
    </row>
    <row r="150" spans="1:9" s="88" customFormat="1" ht="38.25" x14ac:dyDescent="0.25">
      <c r="A150" s="240" t="s">
        <v>808</v>
      </c>
      <c r="B150" s="240" t="s">
        <v>654</v>
      </c>
      <c r="C150" s="240" t="s">
        <v>986</v>
      </c>
      <c r="D150" s="241" t="s">
        <v>655</v>
      </c>
      <c r="E150" s="240" t="s">
        <v>571</v>
      </c>
      <c r="F150" s="242">
        <v>544.38</v>
      </c>
      <c r="G150" s="243">
        <v>70.150000000000006</v>
      </c>
      <c r="H150" s="243">
        <v>38188.25</v>
      </c>
      <c r="I150" s="244">
        <v>1.0548325482798736E-2</v>
      </c>
    </row>
    <row r="151" spans="1:9" s="79" customFormat="1" ht="25.5" x14ac:dyDescent="0.25">
      <c r="A151" s="196" t="s">
        <v>809</v>
      </c>
      <c r="B151" s="196"/>
      <c r="C151" s="196"/>
      <c r="D151" s="235" t="s">
        <v>810</v>
      </c>
      <c r="E151" s="235"/>
      <c r="F151" s="236"/>
      <c r="G151" s="237"/>
      <c r="H151" s="238">
        <v>24824.17</v>
      </c>
      <c r="I151" s="239">
        <v>6.8569108299104536E-3</v>
      </c>
    </row>
    <row r="152" spans="1:9" s="88" customFormat="1" x14ac:dyDescent="0.25">
      <c r="A152" s="240" t="s">
        <v>811</v>
      </c>
      <c r="B152" s="240" t="s">
        <v>645</v>
      </c>
      <c r="C152" s="240" t="s">
        <v>646</v>
      </c>
      <c r="D152" s="241" t="s">
        <v>985</v>
      </c>
      <c r="E152" s="240" t="s">
        <v>27</v>
      </c>
      <c r="F152" s="242">
        <v>266.04000000000002</v>
      </c>
      <c r="G152" s="243">
        <v>1.1399999999999999</v>
      </c>
      <c r="H152" s="243">
        <v>303.27999999999997</v>
      </c>
      <c r="I152" s="244">
        <v>8.3771740062013849E-5</v>
      </c>
    </row>
    <row r="153" spans="1:9" s="88" customFormat="1" ht="51" x14ac:dyDescent="0.25">
      <c r="A153" s="240" t="s">
        <v>812</v>
      </c>
      <c r="B153" s="240" t="s">
        <v>648</v>
      </c>
      <c r="C153" s="240" t="s">
        <v>551</v>
      </c>
      <c r="D153" s="241" t="s">
        <v>649</v>
      </c>
      <c r="E153" s="240" t="s">
        <v>575</v>
      </c>
      <c r="F153" s="242">
        <v>88.68</v>
      </c>
      <c r="G153" s="243">
        <v>58.26</v>
      </c>
      <c r="H153" s="243">
        <v>5166.49</v>
      </c>
      <c r="I153" s="244">
        <v>1.4270834124010614E-3</v>
      </c>
    </row>
    <row r="154" spans="1:9" s="88" customFormat="1" ht="25.5" x14ac:dyDescent="0.25">
      <c r="A154" s="240" t="s">
        <v>813</v>
      </c>
      <c r="B154" s="240" t="s">
        <v>651</v>
      </c>
      <c r="C154" s="240" t="s">
        <v>652</v>
      </c>
      <c r="D154" s="241" t="s">
        <v>984</v>
      </c>
      <c r="E154" s="240" t="s">
        <v>33</v>
      </c>
      <c r="F154" s="242">
        <v>88.68</v>
      </c>
      <c r="G154" s="243">
        <v>7.8</v>
      </c>
      <c r="H154" s="243">
        <v>691.7</v>
      </c>
      <c r="I154" s="244">
        <v>1.9106077750229153E-4</v>
      </c>
    </row>
    <row r="155" spans="1:9" s="88" customFormat="1" ht="38.25" x14ac:dyDescent="0.25">
      <c r="A155" s="240" t="s">
        <v>814</v>
      </c>
      <c r="B155" s="240" t="s">
        <v>654</v>
      </c>
      <c r="C155" s="240" t="s">
        <v>986</v>
      </c>
      <c r="D155" s="241" t="s">
        <v>655</v>
      </c>
      <c r="E155" s="240" t="s">
        <v>571</v>
      </c>
      <c r="F155" s="242">
        <v>266.04000000000002</v>
      </c>
      <c r="G155" s="243">
        <v>70.150000000000006</v>
      </c>
      <c r="H155" s="243">
        <v>18662.7</v>
      </c>
      <c r="I155" s="244">
        <v>5.1549948999450868E-3</v>
      </c>
    </row>
    <row r="156" spans="1:9" s="79" customFormat="1" ht="25.5" x14ac:dyDescent="0.25">
      <c r="A156" s="196" t="s">
        <v>815</v>
      </c>
      <c r="B156" s="196"/>
      <c r="C156" s="196"/>
      <c r="D156" s="235" t="s">
        <v>140</v>
      </c>
      <c r="E156" s="235"/>
      <c r="F156" s="236"/>
      <c r="G156" s="237"/>
      <c r="H156" s="238">
        <v>528864.03</v>
      </c>
      <c r="I156" s="239">
        <v>0.14608236629289467</v>
      </c>
    </row>
    <row r="157" spans="1:9" s="79" customFormat="1" ht="25.5" x14ac:dyDescent="0.25">
      <c r="A157" s="196" t="s">
        <v>816</v>
      </c>
      <c r="B157" s="196"/>
      <c r="C157" s="196"/>
      <c r="D157" s="235" t="s">
        <v>437</v>
      </c>
      <c r="E157" s="235"/>
      <c r="F157" s="236"/>
      <c r="G157" s="237"/>
      <c r="H157" s="238">
        <v>135875.97</v>
      </c>
      <c r="I157" s="239">
        <v>3.7531543258750959E-2</v>
      </c>
    </row>
    <row r="158" spans="1:9" s="88" customFormat="1" x14ac:dyDescent="0.25">
      <c r="A158" s="240" t="s">
        <v>817</v>
      </c>
      <c r="B158" s="240" t="s">
        <v>645</v>
      </c>
      <c r="C158" s="240" t="s">
        <v>646</v>
      </c>
      <c r="D158" s="241" t="s">
        <v>985</v>
      </c>
      <c r="E158" s="240" t="s">
        <v>27</v>
      </c>
      <c r="F158" s="242">
        <v>1520.48</v>
      </c>
      <c r="G158" s="243">
        <v>1.1399999999999999</v>
      </c>
      <c r="H158" s="243">
        <v>1733.34</v>
      </c>
      <c r="I158" s="244">
        <v>4.7878168002865698E-4</v>
      </c>
    </row>
    <row r="159" spans="1:9" s="88" customFormat="1" ht="51" x14ac:dyDescent="0.25">
      <c r="A159" s="240" t="s">
        <v>818</v>
      </c>
      <c r="B159" s="240" t="s">
        <v>648</v>
      </c>
      <c r="C159" s="240" t="s">
        <v>551</v>
      </c>
      <c r="D159" s="241" t="s">
        <v>649</v>
      </c>
      <c r="E159" s="240" t="s">
        <v>575</v>
      </c>
      <c r="F159" s="242">
        <v>416</v>
      </c>
      <c r="G159" s="243">
        <v>58.26</v>
      </c>
      <c r="H159" s="243">
        <v>24236.16</v>
      </c>
      <c r="I159" s="244">
        <v>6.6944912147895597E-3</v>
      </c>
    </row>
    <row r="160" spans="1:9" s="88" customFormat="1" ht="25.5" x14ac:dyDescent="0.25">
      <c r="A160" s="240" t="s">
        <v>819</v>
      </c>
      <c r="B160" s="240" t="s">
        <v>651</v>
      </c>
      <c r="C160" s="240" t="s">
        <v>652</v>
      </c>
      <c r="D160" s="241" t="s">
        <v>984</v>
      </c>
      <c r="E160" s="240" t="s">
        <v>33</v>
      </c>
      <c r="F160" s="242">
        <v>416</v>
      </c>
      <c r="G160" s="243">
        <v>7.8</v>
      </c>
      <c r="H160" s="243">
        <v>3244.8</v>
      </c>
      <c r="I160" s="244">
        <v>8.9627585779880809E-4</v>
      </c>
    </row>
    <row r="161" spans="1:9" s="88" customFormat="1" ht="38.25" x14ac:dyDescent="0.25">
      <c r="A161" s="240" t="s">
        <v>820</v>
      </c>
      <c r="B161" s="240" t="s">
        <v>654</v>
      </c>
      <c r="C161" s="240" t="s">
        <v>986</v>
      </c>
      <c r="D161" s="241" t="s">
        <v>655</v>
      </c>
      <c r="E161" s="240" t="s">
        <v>571</v>
      </c>
      <c r="F161" s="242">
        <v>1520.48</v>
      </c>
      <c r="G161" s="243">
        <v>70.150000000000006</v>
      </c>
      <c r="H161" s="243">
        <v>106661.67</v>
      </c>
      <c r="I161" s="244">
        <v>2.9461994506133939E-2</v>
      </c>
    </row>
    <row r="162" spans="1:9" s="79" customFormat="1" x14ac:dyDescent="0.25">
      <c r="A162" s="196" t="s">
        <v>821</v>
      </c>
      <c r="B162" s="196"/>
      <c r="C162" s="196"/>
      <c r="D162" s="235" t="s">
        <v>161</v>
      </c>
      <c r="E162" s="235"/>
      <c r="F162" s="236"/>
      <c r="G162" s="237"/>
      <c r="H162" s="238">
        <v>61394.23</v>
      </c>
      <c r="I162" s="239">
        <v>1.695826126637923E-2</v>
      </c>
    </row>
    <row r="163" spans="1:9" s="88" customFormat="1" x14ac:dyDescent="0.25">
      <c r="A163" s="240" t="s">
        <v>822</v>
      </c>
      <c r="B163" s="240" t="s">
        <v>645</v>
      </c>
      <c r="C163" s="240" t="s">
        <v>646</v>
      </c>
      <c r="D163" s="241" t="s">
        <v>985</v>
      </c>
      <c r="E163" s="240" t="s">
        <v>27</v>
      </c>
      <c r="F163" s="242">
        <v>657.96</v>
      </c>
      <c r="G163" s="243">
        <v>1.1399999999999999</v>
      </c>
      <c r="H163" s="243">
        <v>750.07</v>
      </c>
      <c r="I163" s="244">
        <v>2.0718368856606018E-4</v>
      </c>
    </row>
    <row r="164" spans="1:9" s="88" customFormat="1" ht="51" x14ac:dyDescent="0.25">
      <c r="A164" s="240" t="s">
        <v>823</v>
      </c>
      <c r="B164" s="240" t="s">
        <v>648</v>
      </c>
      <c r="C164" s="240" t="s">
        <v>551</v>
      </c>
      <c r="D164" s="241" t="s">
        <v>649</v>
      </c>
      <c r="E164" s="240" t="s">
        <v>575</v>
      </c>
      <c r="F164" s="242">
        <v>219.32</v>
      </c>
      <c r="G164" s="243">
        <v>58.26</v>
      </c>
      <c r="H164" s="243">
        <v>12777.58</v>
      </c>
      <c r="I164" s="244">
        <v>3.5294121286652165E-3</v>
      </c>
    </row>
    <row r="165" spans="1:9" s="88" customFormat="1" ht="25.5" x14ac:dyDescent="0.25">
      <c r="A165" s="240" t="s">
        <v>824</v>
      </c>
      <c r="B165" s="240" t="s">
        <v>651</v>
      </c>
      <c r="C165" s="240" t="s">
        <v>652</v>
      </c>
      <c r="D165" s="241" t="s">
        <v>984</v>
      </c>
      <c r="E165" s="240" t="s">
        <v>33</v>
      </c>
      <c r="F165" s="242">
        <v>219.32</v>
      </c>
      <c r="G165" s="243">
        <v>7.8</v>
      </c>
      <c r="H165" s="243">
        <v>1710.69</v>
      </c>
      <c r="I165" s="244">
        <v>4.7252531656121892E-4</v>
      </c>
    </row>
    <row r="166" spans="1:9" s="88" customFormat="1" ht="38.25" x14ac:dyDescent="0.25">
      <c r="A166" s="240" t="s">
        <v>825</v>
      </c>
      <c r="B166" s="240" t="s">
        <v>654</v>
      </c>
      <c r="C166" s="240" t="s">
        <v>986</v>
      </c>
      <c r="D166" s="241" t="s">
        <v>655</v>
      </c>
      <c r="E166" s="240" t="s">
        <v>571</v>
      </c>
      <c r="F166" s="242">
        <v>657.96</v>
      </c>
      <c r="G166" s="243">
        <v>70.150000000000006</v>
      </c>
      <c r="H166" s="243">
        <v>46155.89</v>
      </c>
      <c r="I166" s="244">
        <v>1.2749140132586732E-2</v>
      </c>
    </row>
    <row r="167" spans="1:9" s="79" customFormat="1" ht="25.5" x14ac:dyDescent="0.25">
      <c r="A167" s="196" t="s">
        <v>826</v>
      </c>
      <c r="B167" s="196"/>
      <c r="C167" s="196"/>
      <c r="D167" s="235" t="s">
        <v>827</v>
      </c>
      <c r="E167" s="235"/>
      <c r="F167" s="236"/>
      <c r="G167" s="237"/>
      <c r="H167" s="238">
        <v>47806.43</v>
      </c>
      <c r="I167" s="239">
        <v>1.3205050868019192E-2</v>
      </c>
    </row>
    <row r="168" spans="1:9" s="88" customFormat="1" x14ac:dyDescent="0.25">
      <c r="A168" s="240" t="s">
        <v>828</v>
      </c>
      <c r="B168" s="240" t="s">
        <v>645</v>
      </c>
      <c r="C168" s="240" t="s">
        <v>646</v>
      </c>
      <c r="D168" s="241" t="s">
        <v>985</v>
      </c>
      <c r="E168" s="240" t="s">
        <v>27</v>
      </c>
      <c r="F168" s="242">
        <v>512.34</v>
      </c>
      <c r="G168" s="243">
        <v>1.1399999999999999</v>
      </c>
      <c r="H168" s="243">
        <v>584.05999999999995</v>
      </c>
      <c r="I168" s="244">
        <v>1.6132854952723491E-4</v>
      </c>
    </row>
    <row r="169" spans="1:9" s="88" customFormat="1" ht="51" x14ac:dyDescent="0.25">
      <c r="A169" s="240" t="s">
        <v>829</v>
      </c>
      <c r="B169" s="240" t="s">
        <v>648</v>
      </c>
      <c r="C169" s="240" t="s">
        <v>551</v>
      </c>
      <c r="D169" s="241" t="s">
        <v>649</v>
      </c>
      <c r="E169" s="240" t="s">
        <v>575</v>
      </c>
      <c r="F169" s="242">
        <v>170.78</v>
      </c>
      <c r="G169" s="243">
        <v>58.26</v>
      </c>
      <c r="H169" s="243">
        <v>9949.64</v>
      </c>
      <c r="I169" s="244">
        <v>2.7482809805810323E-3</v>
      </c>
    </row>
    <row r="170" spans="1:9" s="88" customFormat="1" ht="25.5" x14ac:dyDescent="0.25">
      <c r="A170" s="240" t="s">
        <v>830</v>
      </c>
      <c r="B170" s="240" t="s">
        <v>651</v>
      </c>
      <c r="C170" s="240" t="s">
        <v>652</v>
      </c>
      <c r="D170" s="241" t="s">
        <v>984</v>
      </c>
      <c r="E170" s="240" t="s">
        <v>33</v>
      </c>
      <c r="F170" s="242">
        <v>170.78</v>
      </c>
      <c r="G170" s="243">
        <v>7.8</v>
      </c>
      <c r="H170" s="243">
        <v>1332.08</v>
      </c>
      <c r="I170" s="244">
        <v>3.6794598886114287E-4</v>
      </c>
    </row>
    <row r="171" spans="1:9" s="88" customFormat="1" ht="38.25" x14ac:dyDescent="0.25">
      <c r="A171" s="240" t="s">
        <v>831</v>
      </c>
      <c r="B171" s="240" t="s">
        <v>654</v>
      </c>
      <c r="C171" s="240" t="s">
        <v>986</v>
      </c>
      <c r="D171" s="241" t="s">
        <v>655</v>
      </c>
      <c r="E171" s="240" t="s">
        <v>571</v>
      </c>
      <c r="F171" s="242">
        <v>512.34</v>
      </c>
      <c r="G171" s="243">
        <v>70.150000000000006</v>
      </c>
      <c r="H171" s="243">
        <v>35940.65</v>
      </c>
      <c r="I171" s="244">
        <v>9.9274953490497819E-3</v>
      </c>
    </row>
    <row r="172" spans="1:9" s="79" customFormat="1" x14ac:dyDescent="0.25">
      <c r="A172" s="196" t="s">
        <v>832</v>
      </c>
      <c r="B172" s="196"/>
      <c r="C172" s="196"/>
      <c r="D172" s="235" t="s">
        <v>833</v>
      </c>
      <c r="E172" s="235"/>
      <c r="F172" s="236"/>
      <c r="G172" s="237"/>
      <c r="H172" s="238">
        <v>59485.120000000003</v>
      </c>
      <c r="I172" s="239">
        <v>1.6430928548528425E-2</v>
      </c>
    </row>
    <row r="173" spans="1:9" s="88" customFormat="1" x14ac:dyDescent="0.25">
      <c r="A173" s="240" t="s">
        <v>834</v>
      </c>
      <c r="B173" s="240" t="s">
        <v>645</v>
      </c>
      <c r="C173" s="240" t="s">
        <v>646</v>
      </c>
      <c r="D173" s="241" t="s">
        <v>985</v>
      </c>
      <c r="E173" s="240" t="s">
        <v>27</v>
      </c>
      <c r="F173" s="242">
        <v>637.5</v>
      </c>
      <c r="G173" s="243">
        <v>1.1399999999999999</v>
      </c>
      <c r="H173" s="243">
        <v>726.75</v>
      </c>
      <c r="I173" s="244">
        <v>2.0074225827640651E-4</v>
      </c>
    </row>
    <row r="174" spans="1:9" s="88" customFormat="1" ht="51" x14ac:dyDescent="0.25">
      <c r="A174" s="240" t="s">
        <v>835</v>
      </c>
      <c r="B174" s="240" t="s">
        <v>648</v>
      </c>
      <c r="C174" s="240" t="s">
        <v>551</v>
      </c>
      <c r="D174" s="241" t="s">
        <v>649</v>
      </c>
      <c r="E174" s="240" t="s">
        <v>575</v>
      </c>
      <c r="F174" s="242">
        <v>212.5</v>
      </c>
      <c r="G174" s="243">
        <v>58.26</v>
      </c>
      <c r="H174" s="243">
        <v>12380.25</v>
      </c>
      <c r="I174" s="244">
        <v>3.419661978708609E-3</v>
      </c>
    </row>
    <row r="175" spans="1:9" s="88" customFormat="1" ht="25.5" x14ac:dyDescent="0.25">
      <c r="A175" s="240" t="s">
        <v>836</v>
      </c>
      <c r="B175" s="240" t="s">
        <v>651</v>
      </c>
      <c r="C175" s="240" t="s">
        <v>652</v>
      </c>
      <c r="D175" s="241" t="s">
        <v>984</v>
      </c>
      <c r="E175" s="240" t="s">
        <v>33</v>
      </c>
      <c r="F175" s="242">
        <v>212.5</v>
      </c>
      <c r="G175" s="243">
        <v>7.8</v>
      </c>
      <c r="H175" s="243">
        <v>1657.5</v>
      </c>
      <c r="I175" s="244">
        <v>4.5783322063040077E-4</v>
      </c>
    </row>
    <row r="176" spans="1:9" s="88" customFormat="1" ht="38.25" x14ac:dyDescent="0.25">
      <c r="A176" s="240" t="s">
        <v>837</v>
      </c>
      <c r="B176" s="240" t="s">
        <v>654</v>
      </c>
      <c r="C176" s="240" t="s">
        <v>986</v>
      </c>
      <c r="D176" s="241" t="s">
        <v>655</v>
      </c>
      <c r="E176" s="240" t="s">
        <v>571</v>
      </c>
      <c r="F176" s="242">
        <v>637.5</v>
      </c>
      <c r="G176" s="243">
        <v>70.150000000000006</v>
      </c>
      <c r="H176" s="243">
        <v>44720.62</v>
      </c>
      <c r="I176" s="244">
        <v>1.235269109091301E-2</v>
      </c>
    </row>
    <row r="177" spans="1:9" s="79" customFormat="1" x14ac:dyDescent="0.25">
      <c r="A177" s="196" t="s">
        <v>838</v>
      </c>
      <c r="B177" s="196"/>
      <c r="C177" s="196"/>
      <c r="D177" s="235" t="s">
        <v>439</v>
      </c>
      <c r="E177" s="235"/>
      <c r="F177" s="236"/>
      <c r="G177" s="237"/>
      <c r="H177" s="238">
        <v>65794.73</v>
      </c>
      <c r="I177" s="239">
        <v>1.8173763581543077E-2</v>
      </c>
    </row>
    <row r="178" spans="1:9" s="88" customFormat="1" x14ac:dyDescent="0.25">
      <c r="A178" s="240" t="s">
        <v>839</v>
      </c>
      <c r="B178" s="240" t="s">
        <v>645</v>
      </c>
      <c r="C178" s="240" t="s">
        <v>646</v>
      </c>
      <c r="D178" s="241" t="s">
        <v>985</v>
      </c>
      <c r="E178" s="240" t="s">
        <v>27</v>
      </c>
      <c r="F178" s="242">
        <v>705.12</v>
      </c>
      <c r="G178" s="243">
        <v>1.1399999999999999</v>
      </c>
      <c r="H178" s="243">
        <v>803.83</v>
      </c>
      <c r="I178" s="244">
        <v>2.2203322940533035E-4</v>
      </c>
    </row>
    <row r="179" spans="1:9" s="88" customFormat="1" ht="51" x14ac:dyDescent="0.25">
      <c r="A179" s="240" t="s">
        <v>840</v>
      </c>
      <c r="B179" s="240" t="s">
        <v>648</v>
      </c>
      <c r="C179" s="240" t="s">
        <v>551</v>
      </c>
      <c r="D179" s="241" t="s">
        <v>649</v>
      </c>
      <c r="E179" s="240" t="s">
        <v>575</v>
      </c>
      <c r="F179" s="242">
        <v>235.04</v>
      </c>
      <c r="G179" s="243">
        <v>58.26</v>
      </c>
      <c r="H179" s="243">
        <v>13693.43</v>
      </c>
      <c r="I179" s="244">
        <v>3.7823874258684459E-3</v>
      </c>
    </row>
    <row r="180" spans="1:9" s="88" customFormat="1" ht="25.5" x14ac:dyDescent="0.25">
      <c r="A180" s="240" t="s">
        <v>841</v>
      </c>
      <c r="B180" s="240" t="s">
        <v>651</v>
      </c>
      <c r="C180" s="240" t="s">
        <v>652</v>
      </c>
      <c r="D180" s="241" t="s">
        <v>984</v>
      </c>
      <c r="E180" s="240" t="s">
        <v>33</v>
      </c>
      <c r="F180" s="242">
        <v>235.04</v>
      </c>
      <c r="G180" s="243">
        <v>7.8</v>
      </c>
      <c r="H180" s="243">
        <v>1833.31</v>
      </c>
      <c r="I180" s="244">
        <v>5.0639530721805132E-4</v>
      </c>
    </row>
    <row r="181" spans="1:9" s="88" customFormat="1" ht="38.25" x14ac:dyDescent="0.25">
      <c r="A181" s="240" t="s">
        <v>842</v>
      </c>
      <c r="B181" s="240" t="s">
        <v>654</v>
      </c>
      <c r="C181" s="240" t="s">
        <v>986</v>
      </c>
      <c r="D181" s="241" t="s">
        <v>655</v>
      </c>
      <c r="E181" s="240" t="s">
        <v>571</v>
      </c>
      <c r="F181" s="242">
        <v>705.12</v>
      </c>
      <c r="G181" s="243">
        <v>70.150000000000006</v>
      </c>
      <c r="H181" s="243">
        <v>49464.160000000003</v>
      </c>
      <c r="I181" s="244">
        <v>1.3662947619051249E-2</v>
      </c>
    </row>
    <row r="182" spans="1:9" s="79" customFormat="1" x14ac:dyDescent="0.25">
      <c r="A182" s="196" t="s">
        <v>843</v>
      </c>
      <c r="B182" s="196"/>
      <c r="C182" s="196"/>
      <c r="D182" s="235" t="s">
        <v>173</v>
      </c>
      <c r="E182" s="235"/>
      <c r="F182" s="236"/>
      <c r="G182" s="237"/>
      <c r="H182" s="238">
        <v>158507.54999999999</v>
      </c>
      <c r="I182" s="239">
        <v>4.3782818769673777E-2</v>
      </c>
    </row>
    <row r="183" spans="1:9" s="88" customFormat="1" x14ac:dyDescent="0.25">
      <c r="A183" s="240" t="s">
        <v>844</v>
      </c>
      <c r="B183" s="240" t="s">
        <v>645</v>
      </c>
      <c r="C183" s="240" t="s">
        <v>646</v>
      </c>
      <c r="D183" s="241" t="s">
        <v>985</v>
      </c>
      <c r="E183" s="240" t="s">
        <v>27</v>
      </c>
      <c r="F183" s="242">
        <v>1698.72</v>
      </c>
      <c r="G183" s="243">
        <v>1.1399999999999999</v>
      </c>
      <c r="H183" s="243">
        <v>1936.54</v>
      </c>
      <c r="I183" s="244">
        <v>5.3490940879613656E-4</v>
      </c>
    </row>
    <row r="184" spans="1:9" s="88" customFormat="1" ht="51" x14ac:dyDescent="0.25">
      <c r="A184" s="240" t="s">
        <v>845</v>
      </c>
      <c r="B184" s="240" t="s">
        <v>648</v>
      </c>
      <c r="C184" s="240" t="s">
        <v>551</v>
      </c>
      <c r="D184" s="241" t="s">
        <v>649</v>
      </c>
      <c r="E184" s="240" t="s">
        <v>575</v>
      </c>
      <c r="F184" s="242">
        <v>566.24</v>
      </c>
      <c r="G184" s="243">
        <v>58.26</v>
      </c>
      <c r="H184" s="243">
        <v>32989.14</v>
      </c>
      <c r="I184" s="244">
        <v>9.1122318021280117E-3</v>
      </c>
    </row>
    <row r="185" spans="1:9" s="88" customFormat="1" ht="25.5" x14ac:dyDescent="0.25">
      <c r="A185" s="240" t="s">
        <v>846</v>
      </c>
      <c r="B185" s="240" t="s">
        <v>651</v>
      </c>
      <c r="C185" s="240" t="s">
        <v>652</v>
      </c>
      <c r="D185" s="241" t="s">
        <v>984</v>
      </c>
      <c r="E185" s="240" t="s">
        <v>33</v>
      </c>
      <c r="F185" s="242">
        <v>566.24</v>
      </c>
      <c r="G185" s="243">
        <v>7.8</v>
      </c>
      <c r="H185" s="243">
        <v>4416.67</v>
      </c>
      <c r="I185" s="244">
        <v>1.2199687786194101E-3</v>
      </c>
    </row>
    <row r="186" spans="1:9" s="88" customFormat="1" ht="38.25" x14ac:dyDescent="0.25">
      <c r="A186" s="240" t="s">
        <v>847</v>
      </c>
      <c r="B186" s="240" t="s">
        <v>654</v>
      </c>
      <c r="C186" s="240" t="s">
        <v>986</v>
      </c>
      <c r="D186" s="241" t="s">
        <v>655</v>
      </c>
      <c r="E186" s="240" t="s">
        <v>571</v>
      </c>
      <c r="F186" s="242">
        <v>1698.72</v>
      </c>
      <c r="G186" s="243">
        <v>70.150000000000006</v>
      </c>
      <c r="H186" s="243">
        <v>119165.2</v>
      </c>
      <c r="I186" s="244">
        <v>3.2915708780130219E-2</v>
      </c>
    </row>
    <row r="187" spans="1:9" s="79" customFormat="1" x14ac:dyDescent="0.25">
      <c r="A187" s="196" t="s">
        <v>848</v>
      </c>
      <c r="B187" s="196"/>
      <c r="C187" s="196"/>
      <c r="D187" s="235" t="s">
        <v>849</v>
      </c>
      <c r="E187" s="235"/>
      <c r="F187" s="236"/>
      <c r="G187" s="237"/>
      <c r="H187" s="238">
        <v>961100.23</v>
      </c>
      <c r="I187" s="239">
        <v>0.26547427671162532</v>
      </c>
    </row>
    <row r="188" spans="1:9" s="79" customFormat="1" x14ac:dyDescent="0.25">
      <c r="A188" s="196" t="s">
        <v>850</v>
      </c>
      <c r="B188" s="196"/>
      <c r="C188" s="196"/>
      <c r="D188" s="235" t="s">
        <v>851</v>
      </c>
      <c r="E188" s="235"/>
      <c r="F188" s="236"/>
      <c r="G188" s="237"/>
      <c r="H188" s="238">
        <v>179155.20000000001</v>
      </c>
      <c r="I188" s="239">
        <v>4.9486094846867924E-2</v>
      </c>
    </row>
    <row r="189" spans="1:9" s="88" customFormat="1" x14ac:dyDescent="0.25">
      <c r="A189" s="240" t="s">
        <v>852</v>
      </c>
      <c r="B189" s="240" t="s">
        <v>645</v>
      </c>
      <c r="C189" s="240" t="s">
        <v>646</v>
      </c>
      <c r="D189" s="241" t="s">
        <v>985</v>
      </c>
      <c r="E189" s="240" t="s">
        <v>27</v>
      </c>
      <c r="F189" s="242">
        <v>1920</v>
      </c>
      <c r="G189" s="243">
        <v>1.1399999999999999</v>
      </c>
      <c r="H189" s="243">
        <v>2188.8000000000002</v>
      </c>
      <c r="I189" s="244">
        <v>6.0458844845600072E-4</v>
      </c>
    </row>
    <row r="190" spans="1:9" s="88" customFormat="1" ht="51" x14ac:dyDescent="0.25">
      <c r="A190" s="240" t="s">
        <v>853</v>
      </c>
      <c r="B190" s="240" t="s">
        <v>648</v>
      </c>
      <c r="C190" s="240" t="s">
        <v>551</v>
      </c>
      <c r="D190" s="241" t="s">
        <v>649</v>
      </c>
      <c r="E190" s="240" t="s">
        <v>575</v>
      </c>
      <c r="F190" s="242">
        <v>640</v>
      </c>
      <c r="G190" s="243">
        <v>58.26</v>
      </c>
      <c r="H190" s="243">
        <v>37286.400000000001</v>
      </c>
      <c r="I190" s="244">
        <v>1.0299217253522399E-2</v>
      </c>
    </row>
    <row r="191" spans="1:9" s="88" customFormat="1" ht="25.5" x14ac:dyDescent="0.25">
      <c r="A191" s="240" t="s">
        <v>854</v>
      </c>
      <c r="B191" s="240" t="s">
        <v>651</v>
      </c>
      <c r="C191" s="240" t="s">
        <v>652</v>
      </c>
      <c r="D191" s="241" t="s">
        <v>984</v>
      </c>
      <c r="E191" s="240" t="s">
        <v>33</v>
      </c>
      <c r="F191" s="242">
        <v>640</v>
      </c>
      <c r="G191" s="243">
        <v>7.8</v>
      </c>
      <c r="H191" s="243">
        <v>4992</v>
      </c>
      <c r="I191" s="244">
        <v>1.3788859350750895E-3</v>
      </c>
    </row>
    <row r="192" spans="1:9" s="88" customFormat="1" ht="38.25" x14ac:dyDescent="0.25">
      <c r="A192" s="240" t="s">
        <v>855</v>
      </c>
      <c r="B192" s="240" t="s">
        <v>654</v>
      </c>
      <c r="C192" s="240" t="s">
        <v>986</v>
      </c>
      <c r="D192" s="241" t="s">
        <v>655</v>
      </c>
      <c r="E192" s="240" t="s">
        <v>571</v>
      </c>
      <c r="F192" s="242">
        <v>1920</v>
      </c>
      <c r="G192" s="243">
        <v>70.150000000000006</v>
      </c>
      <c r="H192" s="243">
        <v>134688</v>
      </c>
      <c r="I192" s="244">
        <v>3.7203403209814433E-2</v>
      </c>
    </row>
    <row r="193" spans="1:9" s="79" customFormat="1" ht="25.5" x14ac:dyDescent="0.25">
      <c r="A193" s="196" t="s">
        <v>856</v>
      </c>
      <c r="B193" s="196"/>
      <c r="C193" s="196"/>
      <c r="D193" s="235" t="s">
        <v>857</v>
      </c>
      <c r="E193" s="235"/>
      <c r="F193" s="236"/>
      <c r="G193" s="237"/>
      <c r="H193" s="238">
        <v>52884.35</v>
      </c>
      <c r="I193" s="239">
        <v>1.4607669551399902E-2</v>
      </c>
    </row>
    <row r="194" spans="1:9" s="88" customFormat="1" x14ac:dyDescent="0.25">
      <c r="A194" s="240" t="s">
        <v>858</v>
      </c>
      <c r="B194" s="240" t="s">
        <v>645</v>
      </c>
      <c r="C194" s="240" t="s">
        <v>646</v>
      </c>
      <c r="D194" s="241" t="s">
        <v>985</v>
      </c>
      <c r="E194" s="240" t="s">
        <v>27</v>
      </c>
      <c r="F194" s="242">
        <v>566.76</v>
      </c>
      <c r="G194" s="243">
        <v>1.1399999999999999</v>
      </c>
      <c r="H194" s="243">
        <v>646.1</v>
      </c>
      <c r="I194" s="244">
        <v>1.7846518482612486E-4</v>
      </c>
    </row>
    <row r="195" spans="1:9" s="88" customFormat="1" ht="51" x14ac:dyDescent="0.25">
      <c r="A195" s="240" t="s">
        <v>859</v>
      </c>
      <c r="B195" s="240" t="s">
        <v>648</v>
      </c>
      <c r="C195" s="240" t="s">
        <v>551</v>
      </c>
      <c r="D195" s="241" t="s">
        <v>649</v>
      </c>
      <c r="E195" s="240" t="s">
        <v>575</v>
      </c>
      <c r="F195" s="242">
        <v>188.92</v>
      </c>
      <c r="G195" s="243">
        <v>58.26</v>
      </c>
      <c r="H195" s="243">
        <v>11006.47</v>
      </c>
      <c r="I195" s="244">
        <v>3.0401976518080768E-3</v>
      </c>
    </row>
    <row r="196" spans="1:9" s="88" customFormat="1" ht="25.5" x14ac:dyDescent="0.25">
      <c r="A196" s="240" t="s">
        <v>860</v>
      </c>
      <c r="B196" s="240" t="s">
        <v>651</v>
      </c>
      <c r="C196" s="240" t="s">
        <v>652</v>
      </c>
      <c r="D196" s="241" t="s">
        <v>984</v>
      </c>
      <c r="E196" s="240" t="s">
        <v>33</v>
      </c>
      <c r="F196" s="242">
        <v>188.92</v>
      </c>
      <c r="G196" s="243">
        <v>7.8</v>
      </c>
      <c r="H196" s="243">
        <v>1473.57</v>
      </c>
      <c r="I196" s="244">
        <v>4.0702823464515214E-4</v>
      </c>
    </row>
    <row r="197" spans="1:9" s="88" customFormat="1" ht="38.25" x14ac:dyDescent="0.25">
      <c r="A197" s="240" t="s">
        <v>861</v>
      </c>
      <c r="B197" s="240" t="s">
        <v>654</v>
      </c>
      <c r="C197" s="240" t="s">
        <v>986</v>
      </c>
      <c r="D197" s="241" t="s">
        <v>655</v>
      </c>
      <c r="E197" s="240" t="s">
        <v>571</v>
      </c>
      <c r="F197" s="242">
        <v>566.76</v>
      </c>
      <c r="G197" s="243">
        <v>70.150000000000006</v>
      </c>
      <c r="H197" s="243">
        <v>39758.21</v>
      </c>
      <c r="I197" s="244">
        <v>1.0981978480120547E-2</v>
      </c>
    </row>
    <row r="198" spans="1:9" s="79" customFormat="1" x14ac:dyDescent="0.25">
      <c r="A198" s="196" t="s">
        <v>862</v>
      </c>
      <c r="B198" s="196"/>
      <c r="C198" s="196"/>
      <c r="D198" s="235" t="s">
        <v>863</v>
      </c>
      <c r="E198" s="235"/>
      <c r="F198" s="236"/>
      <c r="G198" s="237"/>
      <c r="H198" s="238">
        <v>63583.28</v>
      </c>
      <c r="I198" s="239">
        <v>1.7562918769619639E-2</v>
      </c>
    </row>
    <row r="199" spans="1:9" s="88" customFormat="1" x14ac:dyDescent="0.25">
      <c r="A199" s="240" t="s">
        <v>864</v>
      </c>
      <c r="B199" s="240" t="s">
        <v>645</v>
      </c>
      <c r="C199" s="240" t="s">
        <v>646</v>
      </c>
      <c r="D199" s="241" t="s">
        <v>985</v>
      </c>
      <c r="E199" s="240" t="s">
        <v>27</v>
      </c>
      <c r="F199" s="242">
        <v>681.42</v>
      </c>
      <c r="G199" s="243">
        <v>1.1399999999999999</v>
      </c>
      <c r="H199" s="243">
        <v>776.81</v>
      </c>
      <c r="I199" s="244">
        <v>2.1456978830642633E-4</v>
      </c>
    </row>
    <row r="200" spans="1:9" s="88" customFormat="1" ht="51" x14ac:dyDescent="0.25">
      <c r="A200" s="240" t="s">
        <v>865</v>
      </c>
      <c r="B200" s="240" t="s">
        <v>648</v>
      </c>
      <c r="C200" s="240" t="s">
        <v>551</v>
      </c>
      <c r="D200" s="241" t="s">
        <v>649</v>
      </c>
      <c r="E200" s="240" t="s">
        <v>575</v>
      </c>
      <c r="F200" s="242">
        <v>227.14</v>
      </c>
      <c r="G200" s="243">
        <v>58.26</v>
      </c>
      <c r="H200" s="243">
        <v>13233.17</v>
      </c>
      <c r="I200" s="244">
        <v>3.6552548055804532E-3</v>
      </c>
    </row>
    <row r="201" spans="1:9" s="88" customFormat="1" ht="25.5" x14ac:dyDescent="0.25">
      <c r="A201" s="240" t="s">
        <v>866</v>
      </c>
      <c r="B201" s="240" t="s">
        <v>651</v>
      </c>
      <c r="C201" s="240" t="s">
        <v>652</v>
      </c>
      <c r="D201" s="241" t="s">
        <v>984</v>
      </c>
      <c r="E201" s="240" t="s">
        <v>33</v>
      </c>
      <c r="F201" s="242">
        <v>227.14</v>
      </c>
      <c r="G201" s="243">
        <v>7.8</v>
      </c>
      <c r="H201" s="243">
        <v>1771.69</v>
      </c>
      <c r="I201" s="244">
        <v>4.893746839569682E-4</v>
      </c>
    </row>
    <row r="202" spans="1:9" s="88" customFormat="1" ht="38.25" x14ac:dyDescent="0.25">
      <c r="A202" s="240" t="s">
        <v>867</v>
      </c>
      <c r="B202" s="240" t="s">
        <v>654</v>
      </c>
      <c r="C202" s="240" t="s">
        <v>986</v>
      </c>
      <c r="D202" s="241" t="s">
        <v>655</v>
      </c>
      <c r="E202" s="240" t="s">
        <v>571</v>
      </c>
      <c r="F202" s="242">
        <v>681.42</v>
      </c>
      <c r="G202" s="243">
        <v>70.150000000000006</v>
      </c>
      <c r="H202" s="243">
        <v>47801.61</v>
      </c>
      <c r="I202" s="244">
        <v>1.3203719491775791E-2</v>
      </c>
    </row>
    <row r="203" spans="1:9" s="79" customFormat="1" x14ac:dyDescent="0.25">
      <c r="A203" s="196" t="s">
        <v>868</v>
      </c>
      <c r="B203" s="196"/>
      <c r="C203" s="196"/>
      <c r="D203" s="235" t="s">
        <v>869</v>
      </c>
      <c r="E203" s="235"/>
      <c r="F203" s="236"/>
      <c r="G203" s="237"/>
      <c r="H203" s="238">
        <v>67222.37</v>
      </c>
      <c r="I203" s="239">
        <v>1.8568105071196644E-2</v>
      </c>
    </row>
    <row r="204" spans="1:9" s="88" customFormat="1" x14ac:dyDescent="0.25">
      <c r="A204" s="240" t="s">
        <v>870</v>
      </c>
      <c r="B204" s="240" t="s">
        <v>645</v>
      </c>
      <c r="C204" s="240" t="s">
        <v>646</v>
      </c>
      <c r="D204" s="241" t="s">
        <v>985</v>
      </c>
      <c r="E204" s="240" t="s">
        <v>27</v>
      </c>
      <c r="F204" s="242">
        <v>720.42</v>
      </c>
      <c r="G204" s="243">
        <v>1.1399999999999999</v>
      </c>
      <c r="H204" s="243">
        <v>821.27</v>
      </c>
      <c r="I204" s="244">
        <v>2.2685049116568883E-4</v>
      </c>
    </row>
    <row r="205" spans="1:9" s="88" customFormat="1" ht="51" x14ac:dyDescent="0.25">
      <c r="A205" s="240" t="s">
        <v>871</v>
      </c>
      <c r="B205" s="240" t="s">
        <v>648</v>
      </c>
      <c r="C205" s="240" t="s">
        <v>551</v>
      </c>
      <c r="D205" s="241" t="s">
        <v>649</v>
      </c>
      <c r="E205" s="240" t="s">
        <v>575</v>
      </c>
      <c r="F205" s="242">
        <v>240.14</v>
      </c>
      <c r="G205" s="243">
        <v>58.26</v>
      </c>
      <c r="H205" s="243">
        <v>13990.55</v>
      </c>
      <c r="I205" s="244">
        <v>3.8644576560426269E-3</v>
      </c>
    </row>
    <row r="206" spans="1:9" s="88" customFormat="1" ht="25.5" x14ac:dyDescent="0.25">
      <c r="A206" s="240" t="s">
        <v>872</v>
      </c>
      <c r="B206" s="240" t="s">
        <v>651</v>
      </c>
      <c r="C206" s="240" t="s">
        <v>652</v>
      </c>
      <c r="D206" s="241" t="s">
        <v>984</v>
      </c>
      <c r="E206" s="240" t="s">
        <v>33</v>
      </c>
      <c r="F206" s="242">
        <v>240.14</v>
      </c>
      <c r="G206" s="243">
        <v>7.8</v>
      </c>
      <c r="H206" s="243">
        <v>1873.09</v>
      </c>
      <c r="I206" s="244">
        <v>5.17383304513181E-4</v>
      </c>
    </row>
    <row r="207" spans="1:9" s="88" customFormat="1" ht="38.25" x14ac:dyDescent="0.25">
      <c r="A207" s="240" t="s">
        <v>873</v>
      </c>
      <c r="B207" s="240" t="s">
        <v>654</v>
      </c>
      <c r="C207" s="240" t="s">
        <v>986</v>
      </c>
      <c r="D207" s="241" t="s">
        <v>655</v>
      </c>
      <c r="E207" s="240" t="s">
        <v>571</v>
      </c>
      <c r="F207" s="242">
        <v>720.42</v>
      </c>
      <c r="G207" s="243">
        <v>70.150000000000006</v>
      </c>
      <c r="H207" s="243">
        <v>50537.46</v>
      </c>
      <c r="I207" s="244">
        <v>1.3959413619475147E-2</v>
      </c>
    </row>
    <row r="208" spans="1:9" s="79" customFormat="1" x14ac:dyDescent="0.25">
      <c r="A208" s="196" t="s">
        <v>874</v>
      </c>
      <c r="B208" s="196"/>
      <c r="C208" s="196"/>
      <c r="D208" s="235" t="s">
        <v>875</v>
      </c>
      <c r="E208" s="235"/>
      <c r="F208" s="236"/>
      <c r="G208" s="237"/>
      <c r="H208" s="238">
        <v>76616.83</v>
      </c>
      <c r="I208" s="239">
        <v>2.1163034710945345E-2</v>
      </c>
    </row>
    <row r="209" spans="1:9" s="88" customFormat="1" x14ac:dyDescent="0.25">
      <c r="A209" s="240" t="s">
        <v>876</v>
      </c>
      <c r="B209" s="240" t="s">
        <v>645</v>
      </c>
      <c r="C209" s="240" t="s">
        <v>646</v>
      </c>
      <c r="D209" s="241" t="s">
        <v>985</v>
      </c>
      <c r="E209" s="240" t="s">
        <v>27</v>
      </c>
      <c r="F209" s="242">
        <v>821.1</v>
      </c>
      <c r="G209" s="243">
        <v>1.1399999999999999</v>
      </c>
      <c r="H209" s="243">
        <v>936.05</v>
      </c>
      <c r="I209" s="244">
        <v>2.5855492378346105E-4</v>
      </c>
    </row>
    <row r="210" spans="1:9" s="88" customFormat="1" ht="51" x14ac:dyDescent="0.25">
      <c r="A210" s="240" t="s">
        <v>877</v>
      </c>
      <c r="B210" s="240" t="s">
        <v>648</v>
      </c>
      <c r="C210" s="240" t="s">
        <v>551</v>
      </c>
      <c r="D210" s="241" t="s">
        <v>649</v>
      </c>
      <c r="E210" s="240" t="s">
        <v>575</v>
      </c>
      <c r="F210" s="242">
        <v>273.7</v>
      </c>
      <c r="G210" s="243">
        <v>58.26</v>
      </c>
      <c r="H210" s="243">
        <v>15945.76</v>
      </c>
      <c r="I210" s="244">
        <v>4.4045240761384132E-3</v>
      </c>
    </row>
    <row r="211" spans="1:9" s="88" customFormat="1" ht="25.5" x14ac:dyDescent="0.25">
      <c r="A211" s="240" t="s">
        <v>878</v>
      </c>
      <c r="B211" s="240" t="s">
        <v>651</v>
      </c>
      <c r="C211" s="240" t="s">
        <v>652</v>
      </c>
      <c r="D211" s="241" t="s">
        <v>984</v>
      </c>
      <c r="E211" s="240" t="s">
        <v>33</v>
      </c>
      <c r="F211" s="242">
        <v>273.7</v>
      </c>
      <c r="G211" s="243">
        <v>7.8</v>
      </c>
      <c r="H211" s="243">
        <v>2134.86</v>
      </c>
      <c r="I211" s="244">
        <v>5.8968918817195622E-4</v>
      </c>
    </row>
    <row r="212" spans="1:9" s="88" customFormat="1" ht="38.25" x14ac:dyDescent="0.25">
      <c r="A212" s="240" t="s">
        <v>879</v>
      </c>
      <c r="B212" s="240" t="s">
        <v>654</v>
      </c>
      <c r="C212" s="240" t="s">
        <v>986</v>
      </c>
      <c r="D212" s="241" t="s">
        <v>655</v>
      </c>
      <c r="E212" s="240" t="s">
        <v>571</v>
      </c>
      <c r="F212" s="242">
        <v>821.1</v>
      </c>
      <c r="G212" s="243">
        <v>70.150000000000006</v>
      </c>
      <c r="H212" s="243">
        <v>57600.160000000003</v>
      </c>
      <c r="I212" s="244">
        <v>1.5910266522851515E-2</v>
      </c>
    </row>
    <row r="213" spans="1:9" s="79" customFormat="1" x14ac:dyDescent="0.25">
      <c r="A213" s="196" t="s">
        <v>880</v>
      </c>
      <c r="B213" s="196"/>
      <c r="C213" s="196"/>
      <c r="D213" s="235" t="s">
        <v>881</v>
      </c>
      <c r="E213" s="235"/>
      <c r="F213" s="236"/>
      <c r="G213" s="237"/>
      <c r="H213" s="238">
        <v>97818.72</v>
      </c>
      <c r="I213" s="239">
        <v>2.7019402482982444E-2</v>
      </c>
    </row>
    <row r="214" spans="1:9" s="88" customFormat="1" x14ac:dyDescent="0.25">
      <c r="A214" s="240" t="s">
        <v>882</v>
      </c>
      <c r="B214" s="240" t="s">
        <v>645</v>
      </c>
      <c r="C214" s="240" t="s">
        <v>646</v>
      </c>
      <c r="D214" s="241" t="s">
        <v>985</v>
      </c>
      <c r="E214" s="240" t="s">
        <v>27</v>
      </c>
      <c r="F214" s="242">
        <v>1048.32</v>
      </c>
      <c r="G214" s="243">
        <v>1.1399999999999999</v>
      </c>
      <c r="H214" s="243">
        <v>1195.08</v>
      </c>
      <c r="I214" s="244">
        <v>3.3010396700511579E-4</v>
      </c>
    </row>
    <row r="215" spans="1:9" s="88" customFormat="1" ht="51" x14ac:dyDescent="0.25">
      <c r="A215" s="240" t="s">
        <v>883</v>
      </c>
      <c r="B215" s="240" t="s">
        <v>648</v>
      </c>
      <c r="C215" s="240" t="s">
        <v>551</v>
      </c>
      <c r="D215" s="241" t="s">
        <v>649</v>
      </c>
      <c r="E215" s="240" t="s">
        <v>575</v>
      </c>
      <c r="F215" s="242">
        <v>349.44</v>
      </c>
      <c r="G215" s="243">
        <v>58.26</v>
      </c>
      <c r="H215" s="243">
        <v>20358.37</v>
      </c>
      <c r="I215" s="244">
        <v>5.6233714050590239E-3</v>
      </c>
    </row>
    <row r="216" spans="1:9" s="88" customFormat="1" ht="25.5" x14ac:dyDescent="0.25">
      <c r="A216" s="240" t="s">
        <v>884</v>
      </c>
      <c r="B216" s="240" t="s">
        <v>651</v>
      </c>
      <c r="C216" s="240" t="s">
        <v>652</v>
      </c>
      <c r="D216" s="241" t="s">
        <v>984</v>
      </c>
      <c r="E216" s="240" t="s">
        <v>33</v>
      </c>
      <c r="F216" s="242">
        <v>349.44</v>
      </c>
      <c r="G216" s="243">
        <v>7.8</v>
      </c>
      <c r="H216" s="243">
        <v>2725.63</v>
      </c>
      <c r="I216" s="244">
        <v>7.5287116811272362E-4</v>
      </c>
    </row>
    <row r="217" spans="1:9" s="88" customFormat="1" ht="38.25" x14ac:dyDescent="0.25">
      <c r="A217" s="240" t="s">
        <v>885</v>
      </c>
      <c r="B217" s="240" t="s">
        <v>654</v>
      </c>
      <c r="C217" s="240" t="s">
        <v>986</v>
      </c>
      <c r="D217" s="241" t="s">
        <v>655</v>
      </c>
      <c r="E217" s="240" t="s">
        <v>571</v>
      </c>
      <c r="F217" s="242">
        <v>1048.32</v>
      </c>
      <c r="G217" s="243">
        <v>70.150000000000006</v>
      </c>
      <c r="H217" s="243">
        <v>73539.64</v>
      </c>
      <c r="I217" s="244">
        <v>2.031305594280558E-2</v>
      </c>
    </row>
    <row r="218" spans="1:9" s="79" customFormat="1" x14ac:dyDescent="0.25">
      <c r="A218" s="196" t="s">
        <v>886</v>
      </c>
      <c r="B218" s="196"/>
      <c r="C218" s="196"/>
      <c r="D218" s="235" t="s">
        <v>244</v>
      </c>
      <c r="E218" s="235"/>
      <c r="F218" s="236"/>
      <c r="G218" s="237"/>
      <c r="H218" s="238">
        <v>52833.98</v>
      </c>
      <c r="I218" s="239">
        <v>1.4593756393437214E-2</v>
      </c>
    </row>
    <row r="219" spans="1:9" s="88" customFormat="1" x14ac:dyDescent="0.25">
      <c r="A219" s="240" t="s">
        <v>887</v>
      </c>
      <c r="B219" s="240" t="s">
        <v>645</v>
      </c>
      <c r="C219" s="240" t="s">
        <v>646</v>
      </c>
      <c r="D219" s="241" t="s">
        <v>985</v>
      </c>
      <c r="E219" s="240" t="s">
        <v>27</v>
      </c>
      <c r="F219" s="242">
        <v>566.22</v>
      </c>
      <c r="G219" s="243">
        <v>1.1399999999999999</v>
      </c>
      <c r="H219" s="243">
        <v>645.49</v>
      </c>
      <c r="I219" s="244">
        <v>1.7829669115216736E-4</v>
      </c>
    </row>
    <row r="220" spans="1:9" s="88" customFormat="1" ht="51" x14ac:dyDescent="0.25">
      <c r="A220" s="240" t="s">
        <v>888</v>
      </c>
      <c r="B220" s="240" t="s">
        <v>648</v>
      </c>
      <c r="C220" s="240" t="s">
        <v>551</v>
      </c>
      <c r="D220" s="241" t="s">
        <v>649</v>
      </c>
      <c r="E220" s="240" t="s">
        <v>575</v>
      </c>
      <c r="F220" s="242">
        <v>188.74</v>
      </c>
      <c r="G220" s="243">
        <v>58.26</v>
      </c>
      <c r="H220" s="243">
        <v>10995.99</v>
      </c>
      <c r="I220" s="244">
        <v>3.0373028752456598E-3</v>
      </c>
    </row>
    <row r="221" spans="1:9" s="88" customFormat="1" ht="25.5" x14ac:dyDescent="0.25">
      <c r="A221" s="240" t="s">
        <v>889</v>
      </c>
      <c r="B221" s="240" t="s">
        <v>651</v>
      </c>
      <c r="C221" s="240" t="s">
        <v>652</v>
      </c>
      <c r="D221" s="241" t="s">
        <v>984</v>
      </c>
      <c r="E221" s="240" t="s">
        <v>33</v>
      </c>
      <c r="F221" s="242">
        <v>188.74</v>
      </c>
      <c r="G221" s="243">
        <v>7.8</v>
      </c>
      <c r="H221" s="243">
        <v>1472.17</v>
      </c>
      <c r="I221" s="244">
        <v>4.0664152785246281E-4</v>
      </c>
    </row>
    <row r="222" spans="1:9" s="88" customFormat="1" ht="38.25" x14ac:dyDescent="0.25">
      <c r="A222" s="240" t="s">
        <v>890</v>
      </c>
      <c r="B222" s="240" t="s">
        <v>654</v>
      </c>
      <c r="C222" s="240" t="s">
        <v>986</v>
      </c>
      <c r="D222" s="241" t="s">
        <v>655</v>
      </c>
      <c r="E222" s="240" t="s">
        <v>571</v>
      </c>
      <c r="F222" s="242">
        <v>566.22</v>
      </c>
      <c r="G222" s="243">
        <v>70.150000000000006</v>
      </c>
      <c r="H222" s="243">
        <v>39720.33</v>
      </c>
      <c r="I222" s="244">
        <v>1.0971515299186925E-2</v>
      </c>
    </row>
    <row r="223" spans="1:9" s="79" customFormat="1" x14ac:dyDescent="0.25">
      <c r="A223" s="196" t="s">
        <v>891</v>
      </c>
      <c r="B223" s="196"/>
      <c r="C223" s="196"/>
      <c r="D223" s="235" t="s">
        <v>892</v>
      </c>
      <c r="E223" s="235"/>
      <c r="F223" s="236"/>
      <c r="G223" s="237"/>
      <c r="H223" s="238">
        <v>173774.93</v>
      </c>
      <c r="I223" s="239">
        <v>4.7999961307223199E-2</v>
      </c>
    </row>
    <row r="224" spans="1:9" s="88" customFormat="1" x14ac:dyDescent="0.25">
      <c r="A224" s="240" t="s">
        <v>893</v>
      </c>
      <c r="B224" s="240" t="s">
        <v>645</v>
      </c>
      <c r="C224" s="240" t="s">
        <v>646</v>
      </c>
      <c r="D224" s="241" t="s">
        <v>985</v>
      </c>
      <c r="E224" s="240" t="s">
        <v>27</v>
      </c>
      <c r="F224" s="242">
        <v>1862.34</v>
      </c>
      <c r="G224" s="243">
        <v>1.1399999999999999</v>
      </c>
      <c r="H224" s="243">
        <v>2123.06</v>
      </c>
      <c r="I224" s="244">
        <v>5.8642980234786043E-4</v>
      </c>
    </row>
    <row r="225" spans="1:9" s="88" customFormat="1" ht="51" x14ac:dyDescent="0.25">
      <c r="A225" s="240" t="s">
        <v>894</v>
      </c>
      <c r="B225" s="240" t="s">
        <v>648</v>
      </c>
      <c r="C225" s="240" t="s">
        <v>551</v>
      </c>
      <c r="D225" s="241" t="s">
        <v>649</v>
      </c>
      <c r="E225" s="240" t="s">
        <v>575</v>
      </c>
      <c r="F225" s="242">
        <v>620.78</v>
      </c>
      <c r="G225" s="243">
        <v>58.26</v>
      </c>
      <c r="H225" s="243">
        <v>36166.639999999999</v>
      </c>
      <c r="I225" s="244">
        <v>9.9899181119639698E-3</v>
      </c>
    </row>
    <row r="226" spans="1:9" s="88" customFormat="1" ht="25.5" x14ac:dyDescent="0.25">
      <c r="A226" s="240" t="s">
        <v>895</v>
      </c>
      <c r="B226" s="240" t="s">
        <v>651</v>
      </c>
      <c r="C226" s="240" t="s">
        <v>652</v>
      </c>
      <c r="D226" s="241" t="s">
        <v>984</v>
      </c>
      <c r="E226" s="240" t="s">
        <v>33</v>
      </c>
      <c r="F226" s="242">
        <v>620.78</v>
      </c>
      <c r="G226" s="243">
        <v>7.8</v>
      </c>
      <c r="H226" s="243">
        <v>4842.08</v>
      </c>
      <c r="I226" s="244">
        <v>1.3374751619608151E-3</v>
      </c>
    </row>
    <row r="227" spans="1:9" s="88" customFormat="1" ht="38.25" x14ac:dyDescent="0.25">
      <c r="A227" s="240" t="s">
        <v>896</v>
      </c>
      <c r="B227" s="240" t="s">
        <v>654</v>
      </c>
      <c r="C227" s="240" t="s">
        <v>986</v>
      </c>
      <c r="D227" s="241" t="s">
        <v>655</v>
      </c>
      <c r="E227" s="240" t="s">
        <v>571</v>
      </c>
      <c r="F227" s="242">
        <v>1862.34</v>
      </c>
      <c r="G227" s="243">
        <v>70.150000000000006</v>
      </c>
      <c r="H227" s="243">
        <v>130643.15</v>
      </c>
      <c r="I227" s="244">
        <v>3.6086138230950554E-2</v>
      </c>
    </row>
    <row r="228" spans="1:9" s="79" customFormat="1" x14ac:dyDescent="0.25">
      <c r="A228" s="196" t="s">
        <v>897</v>
      </c>
      <c r="B228" s="196"/>
      <c r="C228" s="196"/>
      <c r="D228" s="235" t="s">
        <v>898</v>
      </c>
      <c r="E228" s="235"/>
      <c r="F228" s="236"/>
      <c r="G228" s="237"/>
      <c r="H228" s="238">
        <v>52554.05</v>
      </c>
      <c r="I228" s="239">
        <v>1.4516434370238984E-2</v>
      </c>
    </row>
    <row r="229" spans="1:9" s="88" customFormat="1" x14ac:dyDescent="0.25">
      <c r="A229" s="240" t="s">
        <v>899</v>
      </c>
      <c r="B229" s="240" t="s">
        <v>645</v>
      </c>
      <c r="C229" s="240" t="s">
        <v>646</v>
      </c>
      <c r="D229" s="241" t="s">
        <v>985</v>
      </c>
      <c r="E229" s="240" t="s">
        <v>27</v>
      </c>
      <c r="F229" s="242">
        <v>563.22</v>
      </c>
      <c r="G229" s="243">
        <v>1.1399999999999999</v>
      </c>
      <c r="H229" s="243">
        <v>642.07000000000005</v>
      </c>
      <c r="I229" s="244">
        <v>1.7735202170145487E-4</v>
      </c>
    </row>
    <row r="230" spans="1:9" s="88" customFormat="1" ht="51" x14ac:dyDescent="0.25">
      <c r="A230" s="240" t="s">
        <v>900</v>
      </c>
      <c r="B230" s="240" t="s">
        <v>648</v>
      </c>
      <c r="C230" s="240" t="s">
        <v>551</v>
      </c>
      <c r="D230" s="241" t="s">
        <v>649</v>
      </c>
      <c r="E230" s="240" t="s">
        <v>575</v>
      </c>
      <c r="F230" s="242">
        <v>187.74</v>
      </c>
      <c r="G230" s="243">
        <v>58.26</v>
      </c>
      <c r="H230" s="243">
        <v>10937.73</v>
      </c>
      <c r="I230" s="244">
        <v>3.021210348287031E-3</v>
      </c>
    </row>
    <row r="231" spans="1:9" s="88" customFormat="1" ht="25.5" x14ac:dyDescent="0.25">
      <c r="A231" s="240" t="s">
        <v>901</v>
      </c>
      <c r="B231" s="240" t="s">
        <v>651</v>
      </c>
      <c r="C231" s="240" t="s">
        <v>652</v>
      </c>
      <c r="D231" s="241" t="s">
        <v>984</v>
      </c>
      <c r="E231" s="240" t="s">
        <v>33</v>
      </c>
      <c r="F231" s="242">
        <v>187.74</v>
      </c>
      <c r="G231" s="243">
        <v>7.8</v>
      </c>
      <c r="H231" s="243">
        <v>1464.37</v>
      </c>
      <c r="I231" s="244">
        <v>4.0448701857890798E-4</v>
      </c>
    </row>
    <row r="232" spans="1:9" s="88" customFormat="1" ht="38.25" x14ac:dyDescent="0.25">
      <c r="A232" s="240" t="s">
        <v>902</v>
      </c>
      <c r="B232" s="240" t="s">
        <v>654</v>
      </c>
      <c r="C232" s="240" t="s">
        <v>986</v>
      </c>
      <c r="D232" s="241" t="s">
        <v>655</v>
      </c>
      <c r="E232" s="240" t="s">
        <v>571</v>
      </c>
      <c r="F232" s="242">
        <v>563.22</v>
      </c>
      <c r="G232" s="243">
        <v>70.150000000000006</v>
      </c>
      <c r="H232" s="243">
        <v>39509.879999999997</v>
      </c>
      <c r="I232" s="244">
        <v>1.0913384981671589E-2</v>
      </c>
    </row>
    <row r="233" spans="1:9" s="79" customFormat="1" x14ac:dyDescent="0.25">
      <c r="A233" s="196" t="s">
        <v>903</v>
      </c>
      <c r="B233" s="196"/>
      <c r="C233" s="196"/>
      <c r="D233" s="235" t="s">
        <v>246</v>
      </c>
      <c r="E233" s="235"/>
      <c r="F233" s="236"/>
      <c r="G233" s="237"/>
      <c r="H233" s="238">
        <v>9965.5</v>
      </c>
      <c r="I233" s="239">
        <v>2.7526618161039271E-3</v>
      </c>
    </row>
    <row r="234" spans="1:9" s="88" customFormat="1" x14ac:dyDescent="0.25">
      <c r="A234" s="240" t="s">
        <v>904</v>
      </c>
      <c r="B234" s="240" t="s">
        <v>645</v>
      </c>
      <c r="C234" s="240" t="s">
        <v>646</v>
      </c>
      <c r="D234" s="241" t="s">
        <v>985</v>
      </c>
      <c r="E234" s="240" t="s">
        <v>27</v>
      </c>
      <c r="F234" s="242">
        <v>106.8</v>
      </c>
      <c r="G234" s="243">
        <v>1.1399999999999999</v>
      </c>
      <c r="H234" s="243">
        <v>121.75</v>
      </c>
      <c r="I234" s="244">
        <v>3.3629680007089774E-5</v>
      </c>
    </row>
    <row r="235" spans="1:9" s="88" customFormat="1" ht="51" x14ac:dyDescent="0.25">
      <c r="A235" s="240" t="s">
        <v>905</v>
      </c>
      <c r="B235" s="240" t="s">
        <v>648</v>
      </c>
      <c r="C235" s="240" t="s">
        <v>551</v>
      </c>
      <c r="D235" s="241" t="s">
        <v>649</v>
      </c>
      <c r="E235" s="240" t="s">
        <v>575</v>
      </c>
      <c r="F235" s="242">
        <v>35.6</v>
      </c>
      <c r="G235" s="243">
        <v>58.26</v>
      </c>
      <c r="H235" s="243">
        <v>2074.0500000000002</v>
      </c>
      <c r="I235" s="244">
        <v>5.7289230241235761E-4</v>
      </c>
    </row>
    <row r="236" spans="1:9" s="88" customFormat="1" ht="25.5" x14ac:dyDescent="0.25">
      <c r="A236" s="240" t="s">
        <v>906</v>
      </c>
      <c r="B236" s="240" t="s">
        <v>651</v>
      </c>
      <c r="C236" s="240" t="s">
        <v>652</v>
      </c>
      <c r="D236" s="241" t="s">
        <v>984</v>
      </c>
      <c r="E236" s="240" t="s">
        <v>33</v>
      </c>
      <c r="F236" s="242">
        <v>35.6</v>
      </c>
      <c r="G236" s="243">
        <v>7.8</v>
      </c>
      <c r="H236" s="243">
        <v>277.68</v>
      </c>
      <c r="I236" s="244">
        <v>7.6700530138551853E-5</v>
      </c>
    </row>
    <row r="237" spans="1:9" s="88" customFormat="1" ht="38.25" x14ac:dyDescent="0.25">
      <c r="A237" s="240" t="s">
        <v>907</v>
      </c>
      <c r="B237" s="240" t="s">
        <v>654</v>
      </c>
      <c r="C237" s="240" t="s">
        <v>986</v>
      </c>
      <c r="D237" s="241" t="s">
        <v>655</v>
      </c>
      <c r="E237" s="240" t="s">
        <v>571</v>
      </c>
      <c r="F237" s="242">
        <v>106.8</v>
      </c>
      <c r="G237" s="243">
        <v>70.150000000000006</v>
      </c>
      <c r="H237" s="243">
        <v>7492.02</v>
      </c>
      <c r="I237" s="244">
        <v>2.0694393035459277E-3</v>
      </c>
    </row>
    <row r="238" spans="1:9" s="79" customFormat="1" x14ac:dyDescent="0.25">
      <c r="A238" s="196" t="s">
        <v>908</v>
      </c>
      <c r="B238" s="196"/>
      <c r="C238" s="196"/>
      <c r="D238" s="235" t="s">
        <v>451</v>
      </c>
      <c r="E238" s="235"/>
      <c r="F238" s="236"/>
      <c r="G238" s="237"/>
      <c r="H238" s="238">
        <v>66634.52</v>
      </c>
      <c r="I238" s="239">
        <v>1.8405729651137771E-2</v>
      </c>
    </row>
    <row r="239" spans="1:9" s="88" customFormat="1" x14ac:dyDescent="0.25">
      <c r="A239" s="240" t="s">
        <v>909</v>
      </c>
      <c r="B239" s="240" t="s">
        <v>645</v>
      </c>
      <c r="C239" s="240" t="s">
        <v>646</v>
      </c>
      <c r="D239" s="241" t="s">
        <v>985</v>
      </c>
      <c r="E239" s="240" t="s">
        <v>27</v>
      </c>
      <c r="F239" s="242">
        <v>714.12</v>
      </c>
      <c r="G239" s="243">
        <v>1.1399999999999999</v>
      </c>
      <c r="H239" s="243">
        <v>814.09</v>
      </c>
      <c r="I239" s="244">
        <v>2.2486723775746786E-4</v>
      </c>
    </row>
    <row r="240" spans="1:9" s="88" customFormat="1" ht="51" x14ac:dyDescent="0.25">
      <c r="A240" s="240" t="s">
        <v>910</v>
      </c>
      <c r="B240" s="240" t="s">
        <v>648</v>
      </c>
      <c r="C240" s="240" t="s">
        <v>551</v>
      </c>
      <c r="D240" s="241" t="s">
        <v>649</v>
      </c>
      <c r="E240" s="240" t="s">
        <v>575</v>
      </c>
      <c r="F240" s="242">
        <v>238.04</v>
      </c>
      <c r="G240" s="243">
        <v>58.26</v>
      </c>
      <c r="H240" s="243">
        <v>13868.21</v>
      </c>
      <c r="I240" s="244">
        <v>3.8306650067443321E-3</v>
      </c>
    </row>
    <row r="241" spans="1:9" s="88" customFormat="1" ht="25.5" x14ac:dyDescent="0.25">
      <c r="A241" s="240" t="s">
        <v>911</v>
      </c>
      <c r="B241" s="240" t="s">
        <v>651</v>
      </c>
      <c r="C241" s="240" t="s">
        <v>652</v>
      </c>
      <c r="D241" s="241" t="s">
        <v>984</v>
      </c>
      <c r="E241" s="240" t="s">
        <v>33</v>
      </c>
      <c r="F241" s="242">
        <v>238.04</v>
      </c>
      <c r="G241" s="243">
        <v>7.8</v>
      </c>
      <c r="H241" s="243">
        <v>1856.71</v>
      </c>
      <c r="I241" s="244">
        <v>5.1285883503871584E-4</v>
      </c>
    </row>
    <row r="242" spans="1:9" s="88" customFormat="1" ht="38.25" x14ac:dyDescent="0.25">
      <c r="A242" s="240" t="s">
        <v>912</v>
      </c>
      <c r="B242" s="240" t="s">
        <v>654</v>
      </c>
      <c r="C242" s="240" t="s">
        <v>986</v>
      </c>
      <c r="D242" s="241" t="s">
        <v>655</v>
      </c>
      <c r="E242" s="240" t="s">
        <v>571</v>
      </c>
      <c r="F242" s="242">
        <v>714.12</v>
      </c>
      <c r="G242" s="243">
        <v>70.150000000000006</v>
      </c>
      <c r="H242" s="243">
        <v>50095.51</v>
      </c>
      <c r="I242" s="244">
        <v>1.3837338571597255E-2</v>
      </c>
    </row>
    <row r="243" spans="1:9" s="79" customFormat="1" x14ac:dyDescent="0.25">
      <c r="A243" s="196" t="s">
        <v>913</v>
      </c>
      <c r="B243" s="196"/>
      <c r="C243" s="196"/>
      <c r="D243" s="235" t="s">
        <v>453</v>
      </c>
      <c r="E243" s="235"/>
      <c r="F243" s="236"/>
      <c r="G243" s="237"/>
      <c r="H243" s="238">
        <v>33591.599999999999</v>
      </c>
      <c r="I243" s="239">
        <v>9.2786427837877345E-3</v>
      </c>
    </row>
    <row r="244" spans="1:9" s="88" customFormat="1" x14ac:dyDescent="0.25">
      <c r="A244" s="240" t="s">
        <v>914</v>
      </c>
      <c r="B244" s="240" t="s">
        <v>645</v>
      </c>
      <c r="C244" s="240" t="s">
        <v>646</v>
      </c>
      <c r="D244" s="241" t="s">
        <v>985</v>
      </c>
      <c r="E244" s="240" t="s">
        <v>27</v>
      </c>
      <c r="F244" s="242">
        <v>360</v>
      </c>
      <c r="G244" s="243">
        <v>1.1399999999999999</v>
      </c>
      <c r="H244" s="243">
        <v>410.4</v>
      </c>
      <c r="I244" s="244">
        <v>1.1336033408550015E-4</v>
      </c>
    </row>
    <row r="245" spans="1:9" s="88" customFormat="1" ht="51" x14ac:dyDescent="0.25">
      <c r="A245" s="240" t="s">
        <v>915</v>
      </c>
      <c r="B245" s="240" t="s">
        <v>648</v>
      </c>
      <c r="C245" s="240" t="s">
        <v>551</v>
      </c>
      <c r="D245" s="241" t="s">
        <v>649</v>
      </c>
      <c r="E245" s="240" t="s">
        <v>575</v>
      </c>
      <c r="F245" s="242">
        <v>120</v>
      </c>
      <c r="G245" s="243">
        <v>58.26</v>
      </c>
      <c r="H245" s="243">
        <v>6991.2</v>
      </c>
      <c r="I245" s="244">
        <v>1.9311032350354499E-3</v>
      </c>
    </row>
    <row r="246" spans="1:9" s="88" customFormat="1" ht="25.5" x14ac:dyDescent="0.25">
      <c r="A246" s="240" t="s">
        <v>916</v>
      </c>
      <c r="B246" s="240" t="s">
        <v>651</v>
      </c>
      <c r="C246" s="240" t="s">
        <v>652</v>
      </c>
      <c r="D246" s="241" t="s">
        <v>984</v>
      </c>
      <c r="E246" s="240" t="s">
        <v>33</v>
      </c>
      <c r="F246" s="242">
        <v>120</v>
      </c>
      <c r="G246" s="243">
        <v>7.8</v>
      </c>
      <c r="H246" s="243">
        <v>936</v>
      </c>
      <c r="I246" s="244">
        <v>2.5854111282657929E-4</v>
      </c>
    </row>
    <row r="247" spans="1:9" s="88" customFormat="1" ht="38.25" x14ac:dyDescent="0.25">
      <c r="A247" s="240" t="s">
        <v>917</v>
      </c>
      <c r="B247" s="240" t="s">
        <v>654</v>
      </c>
      <c r="C247" s="240" t="s">
        <v>986</v>
      </c>
      <c r="D247" s="241" t="s">
        <v>655</v>
      </c>
      <c r="E247" s="240" t="s">
        <v>571</v>
      </c>
      <c r="F247" s="242">
        <v>360</v>
      </c>
      <c r="G247" s="243">
        <v>70.150000000000006</v>
      </c>
      <c r="H247" s="243">
        <v>25254</v>
      </c>
      <c r="I247" s="244">
        <v>6.9756381018402066E-3</v>
      </c>
    </row>
    <row r="248" spans="1:9" s="79" customFormat="1" x14ac:dyDescent="0.25">
      <c r="A248" s="196" t="s">
        <v>918</v>
      </c>
      <c r="B248" s="196"/>
      <c r="C248" s="196"/>
      <c r="D248" s="235" t="s">
        <v>919</v>
      </c>
      <c r="E248" s="235"/>
      <c r="F248" s="236"/>
      <c r="G248" s="237"/>
      <c r="H248" s="238">
        <v>34464.9</v>
      </c>
      <c r="I248" s="239">
        <v>9.5198649566845851E-3</v>
      </c>
    </row>
    <row r="249" spans="1:9" s="88" customFormat="1" x14ac:dyDescent="0.25">
      <c r="A249" s="240" t="s">
        <v>920</v>
      </c>
      <c r="B249" s="240" t="s">
        <v>645</v>
      </c>
      <c r="C249" s="240" t="s">
        <v>646</v>
      </c>
      <c r="D249" s="241" t="s">
        <v>985</v>
      </c>
      <c r="E249" s="240" t="s">
        <v>27</v>
      </c>
      <c r="F249" s="242">
        <v>405.22</v>
      </c>
      <c r="G249" s="243">
        <v>1.1399999999999999</v>
      </c>
      <c r="H249" s="243">
        <v>461.95</v>
      </c>
      <c r="I249" s="244">
        <v>1.2759943063059647E-4</v>
      </c>
    </row>
    <row r="250" spans="1:9" s="88" customFormat="1" ht="51" x14ac:dyDescent="0.25">
      <c r="A250" s="240" t="s">
        <v>921</v>
      </c>
      <c r="B250" s="240" t="s">
        <v>648</v>
      </c>
      <c r="C250" s="240" t="s">
        <v>551</v>
      </c>
      <c r="D250" s="241" t="s">
        <v>649</v>
      </c>
      <c r="E250" s="240" t="s">
        <v>575</v>
      </c>
      <c r="F250" s="242">
        <v>84.42</v>
      </c>
      <c r="G250" s="243">
        <v>58.26</v>
      </c>
      <c r="H250" s="243">
        <v>4918.3</v>
      </c>
      <c r="I250" s="244">
        <v>1.3585285846313727E-3</v>
      </c>
    </row>
    <row r="251" spans="1:9" s="88" customFormat="1" ht="25.5" x14ac:dyDescent="0.25">
      <c r="A251" s="240" t="s">
        <v>922</v>
      </c>
      <c r="B251" s="240" t="s">
        <v>651</v>
      </c>
      <c r="C251" s="240" t="s">
        <v>652</v>
      </c>
      <c r="D251" s="241" t="s">
        <v>984</v>
      </c>
      <c r="E251" s="240" t="s">
        <v>33</v>
      </c>
      <c r="F251" s="242">
        <v>84.42</v>
      </c>
      <c r="G251" s="243">
        <v>7.8</v>
      </c>
      <c r="H251" s="243">
        <v>658.47</v>
      </c>
      <c r="I251" s="244">
        <v>1.818820155586727E-4</v>
      </c>
    </row>
    <row r="252" spans="1:9" s="88" customFormat="1" ht="38.25" x14ac:dyDescent="0.25">
      <c r="A252" s="240" t="s">
        <v>923</v>
      </c>
      <c r="B252" s="240" t="s">
        <v>654</v>
      </c>
      <c r="C252" s="240" t="s">
        <v>986</v>
      </c>
      <c r="D252" s="241" t="s">
        <v>655</v>
      </c>
      <c r="E252" s="240" t="s">
        <v>571</v>
      </c>
      <c r="F252" s="242">
        <v>405.22</v>
      </c>
      <c r="G252" s="243">
        <v>70.150000000000006</v>
      </c>
      <c r="H252" s="243">
        <v>28426.18</v>
      </c>
      <c r="I252" s="244">
        <v>7.8518549258639429E-3</v>
      </c>
    </row>
    <row r="253" spans="1:9" s="79" customFormat="1" x14ac:dyDescent="0.25">
      <c r="A253" s="196" t="s">
        <v>924</v>
      </c>
      <c r="B253" s="196"/>
      <c r="C253" s="196"/>
      <c r="D253" s="235" t="s">
        <v>925</v>
      </c>
      <c r="E253" s="235"/>
      <c r="F253" s="236"/>
      <c r="G253" s="237"/>
      <c r="H253" s="238">
        <v>93479.81</v>
      </c>
      <c r="I253" s="239">
        <v>2.582091250450555E-2</v>
      </c>
    </row>
    <row r="254" spans="1:9" s="79" customFormat="1" x14ac:dyDescent="0.25">
      <c r="A254" s="196" t="s">
        <v>926</v>
      </c>
      <c r="B254" s="196"/>
      <c r="C254" s="196"/>
      <c r="D254" s="235" t="s">
        <v>927</v>
      </c>
      <c r="E254" s="235"/>
      <c r="F254" s="236"/>
      <c r="G254" s="237"/>
      <c r="H254" s="238">
        <v>33591.599999999999</v>
      </c>
      <c r="I254" s="239">
        <v>9.2786427837877345E-3</v>
      </c>
    </row>
    <row r="255" spans="1:9" s="88" customFormat="1" x14ac:dyDescent="0.25">
      <c r="A255" s="240" t="s">
        <v>928</v>
      </c>
      <c r="B255" s="240" t="s">
        <v>645</v>
      </c>
      <c r="C255" s="240" t="s">
        <v>646</v>
      </c>
      <c r="D255" s="241" t="s">
        <v>985</v>
      </c>
      <c r="E255" s="240" t="s">
        <v>27</v>
      </c>
      <c r="F255" s="242">
        <v>360</v>
      </c>
      <c r="G255" s="243">
        <v>1.1399999999999999</v>
      </c>
      <c r="H255" s="243">
        <v>410.4</v>
      </c>
      <c r="I255" s="244">
        <v>1.1336033408550015E-4</v>
      </c>
    </row>
    <row r="256" spans="1:9" s="88" customFormat="1" ht="51" x14ac:dyDescent="0.25">
      <c r="A256" s="240" t="s">
        <v>929</v>
      </c>
      <c r="B256" s="240" t="s">
        <v>648</v>
      </c>
      <c r="C256" s="240" t="s">
        <v>551</v>
      </c>
      <c r="D256" s="241" t="s">
        <v>649</v>
      </c>
      <c r="E256" s="240" t="s">
        <v>575</v>
      </c>
      <c r="F256" s="242">
        <v>120</v>
      </c>
      <c r="G256" s="243">
        <v>58.26</v>
      </c>
      <c r="H256" s="243">
        <v>6991.2</v>
      </c>
      <c r="I256" s="244">
        <v>1.9311032350354499E-3</v>
      </c>
    </row>
    <row r="257" spans="1:9" s="88" customFormat="1" ht="25.5" x14ac:dyDescent="0.25">
      <c r="A257" s="240" t="s">
        <v>930</v>
      </c>
      <c r="B257" s="240" t="s">
        <v>651</v>
      </c>
      <c r="C257" s="240" t="s">
        <v>652</v>
      </c>
      <c r="D257" s="241" t="s">
        <v>984</v>
      </c>
      <c r="E257" s="240" t="s">
        <v>33</v>
      </c>
      <c r="F257" s="242">
        <v>120</v>
      </c>
      <c r="G257" s="243">
        <v>7.8</v>
      </c>
      <c r="H257" s="243">
        <v>936</v>
      </c>
      <c r="I257" s="244">
        <v>2.5854111282657929E-4</v>
      </c>
    </row>
    <row r="258" spans="1:9" s="88" customFormat="1" ht="38.25" x14ac:dyDescent="0.25">
      <c r="A258" s="240" t="s">
        <v>931</v>
      </c>
      <c r="B258" s="240" t="s">
        <v>654</v>
      </c>
      <c r="C258" s="240" t="s">
        <v>986</v>
      </c>
      <c r="D258" s="241" t="s">
        <v>655</v>
      </c>
      <c r="E258" s="240" t="s">
        <v>571</v>
      </c>
      <c r="F258" s="242">
        <v>360</v>
      </c>
      <c r="G258" s="243">
        <v>70.150000000000006</v>
      </c>
      <c r="H258" s="243">
        <v>25254</v>
      </c>
      <c r="I258" s="244">
        <v>6.9756381018402066E-3</v>
      </c>
    </row>
    <row r="259" spans="1:9" s="79" customFormat="1" x14ac:dyDescent="0.25">
      <c r="A259" s="196" t="s">
        <v>932</v>
      </c>
      <c r="B259" s="196"/>
      <c r="C259" s="196"/>
      <c r="D259" s="235" t="s">
        <v>933</v>
      </c>
      <c r="E259" s="235"/>
      <c r="F259" s="236"/>
      <c r="G259" s="237"/>
      <c r="H259" s="238">
        <v>33591.599999999999</v>
      </c>
      <c r="I259" s="239">
        <v>9.2786427837877345E-3</v>
      </c>
    </row>
    <row r="260" spans="1:9" s="88" customFormat="1" x14ac:dyDescent="0.25">
      <c r="A260" s="240" t="s">
        <v>934</v>
      </c>
      <c r="B260" s="240" t="s">
        <v>645</v>
      </c>
      <c r="C260" s="240" t="s">
        <v>646</v>
      </c>
      <c r="D260" s="241" t="s">
        <v>985</v>
      </c>
      <c r="E260" s="240" t="s">
        <v>27</v>
      </c>
      <c r="F260" s="242">
        <v>360</v>
      </c>
      <c r="G260" s="243">
        <v>1.1399999999999999</v>
      </c>
      <c r="H260" s="243">
        <v>410.4</v>
      </c>
      <c r="I260" s="244">
        <v>1.1336033408550015E-4</v>
      </c>
    </row>
    <row r="261" spans="1:9" s="88" customFormat="1" ht="51" x14ac:dyDescent="0.25">
      <c r="A261" s="240" t="s">
        <v>935</v>
      </c>
      <c r="B261" s="240" t="s">
        <v>648</v>
      </c>
      <c r="C261" s="240" t="s">
        <v>551</v>
      </c>
      <c r="D261" s="241" t="s">
        <v>649</v>
      </c>
      <c r="E261" s="240" t="s">
        <v>575</v>
      </c>
      <c r="F261" s="242">
        <v>120</v>
      </c>
      <c r="G261" s="243">
        <v>58.26</v>
      </c>
      <c r="H261" s="243">
        <v>6991.2</v>
      </c>
      <c r="I261" s="244">
        <v>1.9311032350354499E-3</v>
      </c>
    </row>
    <row r="262" spans="1:9" s="88" customFormat="1" ht="25.5" x14ac:dyDescent="0.25">
      <c r="A262" s="240" t="s">
        <v>936</v>
      </c>
      <c r="B262" s="240" t="s">
        <v>651</v>
      </c>
      <c r="C262" s="240" t="s">
        <v>652</v>
      </c>
      <c r="D262" s="241" t="s">
        <v>984</v>
      </c>
      <c r="E262" s="240" t="s">
        <v>33</v>
      </c>
      <c r="F262" s="242">
        <v>120</v>
      </c>
      <c r="G262" s="243">
        <v>7.8</v>
      </c>
      <c r="H262" s="243">
        <v>936</v>
      </c>
      <c r="I262" s="244">
        <v>2.5854111282657929E-4</v>
      </c>
    </row>
    <row r="263" spans="1:9" s="88" customFormat="1" ht="38.25" x14ac:dyDescent="0.25">
      <c r="A263" s="240" t="s">
        <v>937</v>
      </c>
      <c r="B263" s="240" t="s">
        <v>654</v>
      </c>
      <c r="C263" s="240" t="s">
        <v>986</v>
      </c>
      <c r="D263" s="241" t="s">
        <v>655</v>
      </c>
      <c r="E263" s="240" t="s">
        <v>571</v>
      </c>
      <c r="F263" s="242">
        <v>360</v>
      </c>
      <c r="G263" s="243">
        <v>70.150000000000006</v>
      </c>
      <c r="H263" s="243">
        <v>25254</v>
      </c>
      <c r="I263" s="244">
        <v>6.9756381018402066E-3</v>
      </c>
    </row>
    <row r="264" spans="1:9" s="79" customFormat="1" ht="25.5" x14ac:dyDescent="0.25">
      <c r="A264" s="196" t="s">
        <v>938</v>
      </c>
      <c r="B264" s="196"/>
      <c r="C264" s="196"/>
      <c r="D264" s="235" t="s">
        <v>939</v>
      </c>
      <c r="E264" s="235"/>
      <c r="F264" s="236"/>
      <c r="G264" s="237"/>
      <c r="H264" s="238">
        <v>26296.61</v>
      </c>
      <c r="I264" s="239">
        <v>7.2636269369300774E-3</v>
      </c>
    </row>
    <row r="265" spans="1:9" s="88" customFormat="1" x14ac:dyDescent="0.25">
      <c r="A265" s="240" t="s">
        <v>940</v>
      </c>
      <c r="B265" s="240" t="s">
        <v>645</v>
      </c>
      <c r="C265" s="240" t="s">
        <v>646</v>
      </c>
      <c r="D265" s="241" t="s">
        <v>985</v>
      </c>
      <c r="E265" s="240" t="s">
        <v>27</v>
      </c>
      <c r="F265" s="242">
        <v>281.82</v>
      </c>
      <c r="G265" s="243">
        <v>1.1399999999999999</v>
      </c>
      <c r="H265" s="243">
        <v>321.27</v>
      </c>
      <c r="I265" s="244">
        <v>8.8740922348071706E-5</v>
      </c>
    </row>
    <row r="266" spans="1:9" s="88" customFormat="1" ht="51" x14ac:dyDescent="0.25">
      <c r="A266" s="240" t="s">
        <v>941</v>
      </c>
      <c r="B266" s="240" t="s">
        <v>648</v>
      </c>
      <c r="C266" s="240" t="s">
        <v>551</v>
      </c>
      <c r="D266" s="241" t="s">
        <v>649</v>
      </c>
      <c r="E266" s="240" t="s">
        <v>575</v>
      </c>
      <c r="F266" s="242">
        <v>93.94</v>
      </c>
      <c r="G266" s="243">
        <v>58.26</v>
      </c>
      <c r="H266" s="243">
        <v>5472.94</v>
      </c>
      <c r="I266" s="244">
        <v>1.5117307671293791E-3</v>
      </c>
    </row>
    <row r="267" spans="1:9" s="88" customFormat="1" ht="25.5" x14ac:dyDescent="0.25">
      <c r="A267" s="240" t="s">
        <v>942</v>
      </c>
      <c r="B267" s="240" t="s">
        <v>651</v>
      </c>
      <c r="C267" s="240" t="s">
        <v>652</v>
      </c>
      <c r="D267" s="241" t="s">
        <v>984</v>
      </c>
      <c r="E267" s="240" t="s">
        <v>33</v>
      </c>
      <c r="F267" s="242">
        <v>93.94</v>
      </c>
      <c r="G267" s="243">
        <v>7.8</v>
      </c>
      <c r="H267" s="243">
        <v>732.73</v>
      </c>
      <c r="I267" s="244">
        <v>2.023940487194652E-4</v>
      </c>
    </row>
    <row r="268" spans="1:9" s="88" customFormat="1" ht="39" thickBot="1" x14ac:dyDescent="0.3">
      <c r="A268" s="257" t="s">
        <v>943</v>
      </c>
      <c r="B268" s="257" t="s">
        <v>654</v>
      </c>
      <c r="C268" s="257" t="s">
        <v>986</v>
      </c>
      <c r="D268" s="258" t="s">
        <v>655</v>
      </c>
      <c r="E268" s="257" t="s">
        <v>571</v>
      </c>
      <c r="F268" s="259">
        <v>281.82</v>
      </c>
      <c r="G268" s="260">
        <v>70.150000000000006</v>
      </c>
      <c r="H268" s="260">
        <v>19769.669999999998</v>
      </c>
      <c r="I268" s="261">
        <v>5.4607611987331616E-3</v>
      </c>
    </row>
    <row r="269" spans="1:9" x14ac:dyDescent="0.25">
      <c r="A269" s="262"/>
      <c r="B269" s="263"/>
      <c r="C269" s="263"/>
      <c r="D269" s="264"/>
      <c r="E269" s="264"/>
      <c r="F269" s="264"/>
      <c r="G269" s="264"/>
      <c r="H269" s="264"/>
      <c r="I269" s="265"/>
    </row>
    <row r="270" spans="1:9" x14ac:dyDescent="0.25">
      <c r="A270" s="511" t="s">
        <v>990</v>
      </c>
      <c r="B270" s="512"/>
      <c r="C270" s="512"/>
      <c r="D270" s="512"/>
      <c r="E270" s="512"/>
      <c r="F270" s="512"/>
      <c r="G270" s="512"/>
      <c r="H270" s="266">
        <v>3620313.96</v>
      </c>
      <c r="I270" s="267"/>
    </row>
    <row r="271" spans="1:9" ht="15.75" thickBot="1" x14ac:dyDescent="0.3">
      <c r="A271" s="268"/>
      <c r="B271" s="269"/>
      <c r="C271" s="269"/>
      <c r="D271" s="270"/>
      <c r="E271" s="271"/>
      <c r="F271" s="272"/>
      <c r="G271" s="273"/>
      <c r="H271" s="272"/>
      <c r="I271" s="274"/>
    </row>
    <row r="272" spans="1:9" x14ac:dyDescent="0.25">
      <c r="A272" s="275"/>
      <c r="B272" s="276"/>
      <c r="C272" s="276"/>
      <c r="D272" s="277"/>
      <c r="E272" s="278"/>
      <c r="F272" s="279"/>
      <c r="G272" s="279"/>
      <c r="H272" s="279"/>
      <c r="I272" s="280"/>
    </row>
    <row r="273" spans="1:9" x14ac:dyDescent="0.25">
      <c r="A273" s="498" t="s">
        <v>991</v>
      </c>
      <c r="B273" s="499"/>
      <c r="C273" s="499"/>
      <c r="D273" s="499"/>
      <c r="E273" s="499"/>
      <c r="F273" s="499"/>
      <c r="G273" s="499"/>
      <c r="H273" s="499"/>
      <c r="I273" s="500"/>
    </row>
    <row r="274" spans="1:9" ht="15" customHeight="1" thickBot="1" x14ac:dyDescent="0.3">
      <c r="A274" s="281"/>
      <c r="B274" s="282"/>
      <c r="C274" s="282"/>
      <c r="D274" s="282"/>
      <c r="E274" s="282"/>
      <c r="F274" s="282"/>
      <c r="G274" s="282"/>
      <c r="H274" s="282"/>
      <c r="I274" s="283"/>
    </row>
    <row r="275" spans="1:9" x14ac:dyDescent="0.25">
      <c r="A275" s="206"/>
      <c r="B275" s="206"/>
      <c r="C275" s="206"/>
      <c r="D275" s="207"/>
      <c r="E275" s="207"/>
      <c r="F275" s="207"/>
      <c r="G275" s="207"/>
      <c r="H275" s="207"/>
      <c r="I275" s="256"/>
    </row>
  </sheetData>
  <mergeCells count="9">
    <mergeCell ref="A2:I2"/>
    <mergeCell ref="A270:G270"/>
    <mergeCell ref="A273:I273"/>
    <mergeCell ref="B8:D8"/>
    <mergeCell ref="E7:F7"/>
    <mergeCell ref="A9:I9"/>
    <mergeCell ref="E8:F8"/>
    <mergeCell ref="G7:H7"/>
    <mergeCell ref="G8:H8"/>
  </mergeCells>
  <printOptions horizontalCentered="1"/>
  <pageMargins left="0.51181102362204722" right="0.51181102362204722" top="0.98425196850393704" bottom="0.78740157480314965" header="0.19685039370078741" footer="0.19685039370078741"/>
  <pageSetup paperSize="9" scale="58" orientation="portrait" verticalDpi="0" r:id="rId1"/>
  <headerFooter>
    <oddHeader>&amp;L&amp;G&amp;R&amp;G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66E4-979B-49BA-AE85-B678D83F4D8B}">
  <dimension ref="A2:O162"/>
  <sheetViews>
    <sheetView topLeftCell="A121" workbookViewId="0">
      <selection activeCell="B127" sqref="B127:K130"/>
    </sheetView>
  </sheetViews>
  <sheetFormatPr defaultRowHeight="15" x14ac:dyDescent="0.25"/>
  <cols>
    <col min="1" max="1" width="6.7109375" style="195" bestFit="1" customWidth="1"/>
    <col min="2" max="2" width="68.5703125" style="187" bestFit="1" customWidth="1"/>
    <col min="3" max="3" width="17.5703125" style="187" bestFit="1" customWidth="1"/>
    <col min="4" max="4" width="8" style="187" bestFit="1" customWidth="1"/>
    <col min="5" max="31" width="13.7109375" style="187" bestFit="1" customWidth="1"/>
    <col min="32" max="16384" width="9.140625" style="187"/>
  </cols>
  <sheetData>
    <row r="2" spans="1:15" ht="18" x14ac:dyDescent="0.25">
      <c r="A2" s="405" t="s">
        <v>1082</v>
      </c>
      <c r="B2" s="405"/>
      <c r="C2" s="405"/>
      <c r="D2" s="405"/>
      <c r="E2" s="405"/>
      <c r="F2" s="405"/>
      <c r="G2" s="405"/>
      <c r="H2" s="405"/>
      <c r="I2" s="405"/>
      <c r="J2" s="405"/>
      <c r="K2" s="405"/>
      <c r="L2" s="405"/>
    </row>
    <row r="3" spans="1:15" x14ac:dyDescent="0.25">
      <c r="A3" s="1"/>
      <c r="B3" s="1"/>
      <c r="C3" s="1"/>
      <c r="D3" s="1"/>
      <c r="E3" s="2"/>
      <c r="F3" s="2"/>
      <c r="G3" s="2"/>
      <c r="H3" s="2"/>
      <c r="I3" s="2"/>
      <c r="J3" s="2"/>
      <c r="K3" s="2"/>
      <c r="L3" s="3"/>
    </row>
    <row r="4" spans="1:15" s="55" customFormat="1" x14ac:dyDescent="0.25">
      <c r="A4" s="212" t="s">
        <v>964</v>
      </c>
      <c r="B4" s="212"/>
      <c r="C4" s="185" t="s">
        <v>620</v>
      </c>
      <c r="D4" s="213"/>
      <c r="E4" s="214"/>
      <c r="F4" s="214"/>
      <c r="G4" s="215"/>
      <c r="H4" s="215"/>
      <c r="I4" s="215"/>
      <c r="J4" s="215"/>
      <c r="K4" s="215"/>
      <c r="L4" s="212"/>
    </row>
    <row r="5" spans="1:15" s="55" customFormat="1" x14ac:dyDescent="0.25">
      <c r="A5" s="212" t="s">
        <v>965</v>
      </c>
      <c r="B5" s="212"/>
      <c r="C5" s="212"/>
      <c r="D5" s="216"/>
      <c r="E5" s="220" t="s">
        <v>967</v>
      </c>
      <c r="F5" s="218"/>
      <c r="G5" s="215"/>
      <c r="H5" s="215"/>
      <c r="I5" s="215"/>
      <c r="J5" s="215"/>
      <c r="K5" s="215"/>
      <c r="L5" s="212"/>
    </row>
    <row r="6" spans="1:15" s="55" customFormat="1" x14ac:dyDescent="0.25">
      <c r="A6" s="212" t="s">
        <v>966</v>
      </c>
      <c r="B6" s="212"/>
      <c r="C6" s="219"/>
      <c r="D6" s="216"/>
      <c r="E6" s="217"/>
      <c r="G6" s="215"/>
      <c r="H6" s="215"/>
      <c r="I6" s="215"/>
      <c r="J6" s="215"/>
      <c r="K6" s="215"/>
      <c r="L6" s="212"/>
    </row>
    <row r="7" spans="1:15" s="55" customFormat="1" x14ac:dyDescent="0.25">
      <c r="A7" s="212" t="s">
        <v>969</v>
      </c>
      <c r="B7" s="212"/>
      <c r="C7" s="223" t="s">
        <v>970</v>
      </c>
      <c r="D7" s="216"/>
      <c r="E7" s="506" t="s">
        <v>971</v>
      </c>
      <c r="F7" s="506"/>
      <c r="G7" s="215"/>
      <c r="H7" s="215"/>
      <c r="I7" s="215"/>
      <c r="J7" s="215"/>
      <c r="K7" s="215"/>
      <c r="L7" s="212"/>
    </row>
    <row r="8" spans="1:15" ht="42.75" x14ac:dyDescent="0.25">
      <c r="B8" s="222" t="s">
        <v>968</v>
      </c>
      <c r="C8" s="225">
        <v>0.2009</v>
      </c>
      <c r="D8" s="221"/>
      <c r="E8" s="507" t="s">
        <v>621</v>
      </c>
      <c r="F8" s="535"/>
    </row>
    <row r="9" spans="1:15" ht="15.75" thickBot="1" x14ac:dyDescent="0.3">
      <c r="A9" s="193"/>
      <c r="B9" s="186"/>
      <c r="C9" s="186"/>
      <c r="D9" s="186"/>
      <c r="G9" s="536"/>
      <c r="H9" s="536"/>
      <c r="O9" s="211"/>
    </row>
    <row r="10" spans="1:15" ht="15.75" customHeight="1" thickBot="1" x14ac:dyDescent="0.3">
      <c r="A10" s="515" t="s">
        <v>622</v>
      </c>
      <c r="B10" s="515" t="s">
        <v>625</v>
      </c>
      <c r="C10" s="515" t="s">
        <v>944</v>
      </c>
      <c r="D10" s="515" t="s">
        <v>958</v>
      </c>
      <c r="E10" s="514" t="s">
        <v>963</v>
      </c>
      <c r="F10" s="514"/>
      <c r="G10" s="514"/>
      <c r="H10" s="514"/>
      <c r="I10" s="514"/>
      <c r="J10" s="514"/>
      <c r="K10" s="514"/>
      <c r="L10" s="514"/>
    </row>
    <row r="11" spans="1:15" ht="15.75" thickBot="1" x14ac:dyDescent="0.3">
      <c r="A11" s="515"/>
      <c r="B11" s="515"/>
      <c r="C11" s="515"/>
      <c r="D11" s="515"/>
      <c r="E11" s="210" t="s">
        <v>945</v>
      </c>
      <c r="F11" s="210" t="s">
        <v>946</v>
      </c>
      <c r="G11" s="210" t="s">
        <v>947</v>
      </c>
      <c r="H11" s="210" t="s">
        <v>948</v>
      </c>
      <c r="I11" s="210" t="s">
        <v>949</v>
      </c>
      <c r="J11" s="210" t="s">
        <v>950</v>
      </c>
      <c r="K11" s="210" t="s">
        <v>951</v>
      </c>
      <c r="L11" s="210" t="s">
        <v>952</v>
      </c>
    </row>
    <row r="12" spans="1:15" ht="26.25" thickBot="1" x14ac:dyDescent="0.3">
      <c r="A12" s="531" t="s">
        <v>631</v>
      </c>
      <c r="B12" s="525" t="s">
        <v>16</v>
      </c>
      <c r="C12" s="527">
        <f>'A-4_Planilha Básica de Orçament'!H11</f>
        <v>43565.599999999999</v>
      </c>
      <c r="D12" s="529">
        <f>C12/C$121</f>
        <v>1.2033652462561559E-2</v>
      </c>
      <c r="E12" s="299" t="s">
        <v>953</v>
      </c>
      <c r="F12" s="299" t="s">
        <v>953</v>
      </c>
      <c r="G12" s="299" t="s">
        <v>953</v>
      </c>
      <c r="H12" s="299" t="s">
        <v>953</v>
      </c>
      <c r="I12" s="299" t="s">
        <v>953</v>
      </c>
      <c r="J12" s="299" t="s">
        <v>953</v>
      </c>
      <c r="K12" s="299" t="s">
        <v>953</v>
      </c>
      <c r="L12" s="300" t="s">
        <v>953</v>
      </c>
    </row>
    <row r="13" spans="1:15" ht="15.75" thickTop="1" x14ac:dyDescent="0.25">
      <c r="A13" s="532"/>
      <c r="B13" s="526"/>
      <c r="C13" s="528"/>
      <c r="D13" s="530"/>
      <c r="E13" s="312"/>
      <c r="F13" s="313"/>
      <c r="G13" s="313"/>
      <c r="H13" s="313"/>
      <c r="I13" s="313"/>
      <c r="J13" s="313"/>
      <c r="K13" s="313"/>
      <c r="L13" s="314"/>
    </row>
    <row r="14" spans="1:15" ht="26.25" thickBot="1" x14ac:dyDescent="0.3">
      <c r="A14" s="533" t="s">
        <v>635</v>
      </c>
      <c r="B14" s="534" t="s">
        <v>23</v>
      </c>
      <c r="C14" s="537">
        <f>'A-4_Planilha Básica de Orçament'!H13</f>
        <v>2427.7800000000002</v>
      </c>
      <c r="D14" s="538">
        <f>C14/C$121</f>
        <v>6.7059929796806897E-4</v>
      </c>
      <c r="E14" s="284" t="s">
        <v>954</v>
      </c>
      <c r="F14" s="302" t="s">
        <v>955</v>
      </c>
      <c r="G14" s="302" t="s">
        <v>955</v>
      </c>
      <c r="H14" s="302" t="s">
        <v>955</v>
      </c>
      <c r="I14" s="302" t="s">
        <v>955</v>
      </c>
      <c r="J14" s="302" t="s">
        <v>955</v>
      </c>
      <c r="K14" s="302" t="s">
        <v>955</v>
      </c>
      <c r="L14" s="303" t="s">
        <v>955</v>
      </c>
    </row>
    <row r="15" spans="1:15" ht="15.75" thickTop="1" x14ac:dyDescent="0.25">
      <c r="A15" s="532"/>
      <c r="B15" s="526"/>
      <c r="C15" s="528"/>
      <c r="D15" s="530"/>
      <c r="E15" s="301"/>
      <c r="F15" s="304"/>
      <c r="G15" s="304"/>
      <c r="H15" s="304"/>
      <c r="I15" s="304"/>
      <c r="J15" s="304"/>
      <c r="K15" s="304"/>
      <c r="L15" s="305"/>
    </row>
    <row r="16" spans="1:15" x14ac:dyDescent="0.25">
      <c r="A16" s="196" t="s">
        <v>639</v>
      </c>
      <c r="B16" s="226" t="s">
        <v>35</v>
      </c>
      <c r="C16" s="227"/>
      <c r="D16" s="228"/>
      <c r="E16" s="306"/>
      <c r="F16" s="306"/>
      <c r="G16" s="306"/>
      <c r="H16" s="306"/>
      <c r="I16" s="307" t="s">
        <v>955</v>
      </c>
      <c r="J16" s="307" t="s">
        <v>955</v>
      </c>
      <c r="K16" s="307" t="s">
        <v>955</v>
      </c>
      <c r="L16" s="308" t="s">
        <v>955</v>
      </c>
    </row>
    <row r="17" spans="1:12" ht="25.5" x14ac:dyDescent="0.25">
      <c r="A17" s="196" t="s">
        <v>640</v>
      </c>
      <c r="B17" s="226" t="s">
        <v>641</v>
      </c>
      <c r="C17" s="227"/>
      <c r="D17" s="228"/>
      <c r="E17" s="306"/>
      <c r="F17" s="306"/>
      <c r="G17" s="306"/>
      <c r="H17" s="306"/>
      <c r="I17" s="307" t="s">
        <v>955</v>
      </c>
      <c r="J17" s="307" t="s">
        <v>955</v>
      </c>
      <c r="K17" s="307" t="s">
        <v>955</v>
      </c>
      <c r="L17" s="308" t="s">
        <v>955</v>
      </c>
    </row>
    <row r="18" spans="1:12" ht="26.25" thickBot="1" x14ac:dyDescent="0.3">
      <c r="A18" s="516" t="s">
        <v>642</v>
      </c>
      <c r="B18" s="518" t="s">
        <v>643</v>
      </c>
      <c r="C18" s="520">
        <f>'A-4_Planilha Básica de Orçament'!H17</f>
        <v>128767.8</v>
      </c>
      <c r="D18" s="522">
        <f>C18/C$121</f>
        <v>3.5568130671186311E-2</v>
      </c>
      <c r="E18" s="284" t="s">
        <v>993</v>
      </c>
      <c r="F18" s="284" t="s">
        <v>993</v>
      </c>
      <c r="G18" s="302" t="s">
        <v>955</v>
      </c>
      <c r="H18" s="302" t="s">
        <v>955</v>
      </c>
      <c r="I18" s="302" t="s">
        <v>955</v>
      </c>
      <c r="J18" s="302" t="s">
        <v>955</v>
      </c>
      <c r="K18" s="302" t="s">
        <v>955</v>
      </c>
      <c r="L18" s="303" t="s">
        <v>955</v>
      </c>
    </row>
    <row r="19" spans="1:12" ht="15.75" thickTop="1" x14ac:dyDescent="0.25">
      <c r="A19" s="517"/>
      <c r="B19" s="519"/>
      <c r="C19" s="521"/>
      <c r="D19" s="523"/>
      <c r="E19" s="312"/>
      <c r="F19" s="315"/>
      <c r="G19" s="304"/>
      <c r="H19" s="304"/>
      <c r="I19" s="304"/>
      <c r="J19" s="304"/>
      <c r="K19" s="304"/>
      <c r="L19" s="305"/>
    </row>
    <row r="20" spans="1:12" ht="26.25" thickBot="1" x14ac:dyDescent="0.3">
      <c r="A20" s="516" t="s">
        <v>656</v>
      </c>
      <c r="B20" s="518" t="s">
        <v>657</v>
      </c>
      <c r="C20" s="520">
        <f>'A-4_Planilha Básica de Orçament'!H22</f>
        <v>32225.53</v>
      </c>
      <c r="D20" s="522">
        <f>C20/C$121</f>
        <v>8.9013081064383687E-3</v>
      </c>
      <c r="E20" s="302" t="s">
        <v>955</v>
      </c>
      <c r="F20" s="284" t="s">
        <v>994</v>
      </c>
      <c r="G20" s="284" t="s">
        <v>994</v>
      </c>
      <c r="H20" s="302" t="s">
        <v>955</v>
      </c>
      <c r="I20" s="302" t="s">
        <v>955</v>
      </c>
      <c r="J20" s="302" t="s">
        <v>955</v>
      </c>
      <c r="K20" s="302" t="s">
        <v>955</v>
      </c>
      <c r="L20" s="303" t="s">
        <v>955</v>
      </c>
    </row>
    <row r="21" spans="1:12" ht="15.75" thickTop="1" x14ac:dyDescent="0.25">
      <c r="A21" s="517"/>
      <c r="B21" s="519"/>
      <c r="C21" s="521"/>
      <c r="D21" s="523"/>
      <c r="E21" s="304"/>
      <c r="F21" s="312"/>
      <c r="G21" s="315"/>
      <c r="H21" s="304"/>
      <c r="I21" s="304"/>
      <c r="J21" s="304"/>
      <c r="K21" s="304"/>
      <c r="L21" s="305"/>
    </row>
    <row r="22" spans="1:12" ht="26.25" thickBot="1" x14ac:dyDescent="0.3">
      <c r="A22" s="516" t="s">
        <v>662</v>
      </c>
      <c r="B22" s="518" t="s">
        <v>663</v>
      </c>
      <c r="C22" s="520">
        <f>'A-4_Planilha Básica de Orçament'!H27</f>
        <v>43641.07</v>
      </c>
      <c r="D22" s="522">
        <f>C22/C$121</f>
        <v>1.205449872087889E-2</v>
      </c>
      <c r="E22" s="302" t="s">
        <v>955</v>
      </c>
      <c r="F22" s="284" t="s">
        <v>995</v>
      </c>
      <c r="G22" s="284" t="s">
        <v>995</v>
      </c>
      <c r="H22" s="302" t="s">
        <v>955</v>
      </c>
      <c r="I22" s="302" t="s">
        <v>955</v>
      </c>
      <c r="J22" s="302" t="s">
        <v>955</v>
      </c>
      <c r="K22" s="302" t="s">
        <v>955</v>
      </c>
      <c r="L22" s="303" t="s">
        <v>955</v>
      </c>
    </row>
    <row r="23" spans="1:12" ht="15.75" thickTop="1" x14ac:dyDescent="0.25">
      <c r="A23" s="517"/>
      <c r="B23" s="519"/>
      <c r="C23" s="521"/>
      <c r="D23" s="523"/>
      <c r="E23" s="304"/>
      <c r="F23" s="312"/>
      <c r="G23" s="315"/>
      <c r="H23" s="304"/>
      <c r="I23" s="304"/>
      <c r="J23" s="304"/>
      <c r="K23" s="304"/>
      <c r="L23" s="305"/>
    </row>
    <row r="24" spans="1:12" ht="26.25" thickBot="1" x14ac:dyDescent="0.3">
      <c r="A24" s="516" t="s">
        <v>668</v>
      </c>
      <c r="B24" s="518" t="s">
        <v>669</v>
      </c>
      <c r="C24" s="520">
        <f>'A-4_Planilha Básica de Orçament'!H32</f>
        <v>48914.96</v>
      </c>
      <c r="D24" s="522">
        <f>C24/C$121</f>
        <v>1.3511248068661975E-2</v>
      </c>
      <c r="E24" s="302" t="s">
        <v>955</v>
      </c>
      <c r="F24" s="302" t="s">
        <v>955</v>
      </c>
      <c r="G24" s="284" t="s">
        <v>996</v>
      </c>
      <c r="H24" s="284" t="s">
        <v>996</v>
      </c>
      <c r="I24" s="302" t="s">
        <v>955</v>
      </c>
      <c r="J24" s="302" t="s">
        <v>955</v>
      </c>
      <c r="K24" s="302" t="s">
        <v>955</v>
      </c>
      <c r="L24" s="303" t="s">
        <v>955</v>
      </c>
    </row>
    <row r="25" spans="1:12" ht="15.75" thickTop="1" x14ac:dyDescent="0.25">
      <c r="A25" s="517"/>
      <c r="B25" s="519"/>
      <c r="C25" s="521"/>
      <c r="D25" s="523"/>
      <c r="E25" s="304"/>
      <c r="F25" s="304"/>
      <c r="G25" s="312"/>
      <c r="H25" s="315"/>
      <c r="I25" s="304"/>
      <c r="J25" s="304"/>
      <c r="K25" s="304"/>
      <c r="L25" s="305"/>
    </row>
    <row r="26" spans="1:12" ht="26.25" thickBot="1" x14ac:dyDescent="0.3">
      <c r="A26" s="516" t="s">
        <v>674</v>
      </c>
      <c r="B26" s="518" t="s">
        <v>675</v>
      </c>
      <c r="C26" s="520">
        <f>'A-4_Planilha Básica de Orçament'!H37</f>
        <v>51288.75</v>
      </c>
      <c r="D26" s="522">
        <f>C26/C$121</f>
        <v>1.4166934295389118E-2</v>
      </c>
      <c r="E26" s="302" t="s">
        <v>955</v>
      </c>
      <c r="F26" s="302" t="s">
        <v>955</v>
      </c>
      <c r="G26" s="284" t="s">
        <v>997</v>
      </c>
      <c r="H26" s="284" t="s">
        <v>997</v>
      </c>
      <c r="I26" s="302" t="s">
        <v>955</v>
      </c>
      <c r="J26" s="302" t="s">
        <v>955</v>
      </c>
      <c r="K26" s="302" t="s">
        <v>955</v>
      </c>
      <c r="L26" s="303" t="s">
        <v>955</v>
      </c>
    </row>
    <row r="27" spans="1:12" ht="15.75" thickTop="1" x14ac:dyDescent="0.25">
      <c r="A27" s="517"/>
      <c r="B27" s="519"/>
      <c r="C27" s="521"/>
      <c r="D27" s="523"/>
      <c r="E27" s="304"/>
      <c r="F27" s="304"/>
      <c r="G27" s="312"/>
      <c r="H27" s="315"/>
      <c r="I27" s="304"/>
      <c r="J27" s="304"/>
      <c r="K27" s="304"/>
      <c r="L27" s="305"/>
    </row>
    <row r="28" spans="1:12" ht="26.25" thickBot="1" x14ac:dyDescent="0.3">
      <c r="A28" s="516" t="s">
        <v>680</v>
      </c>
      <c r="B28" s="518" t="s">
        <v>681</v>
      </c>
      <c r="C28" s="520">
        <f>'A-4_Planilha Básica de Orçament'!H42</f>
        <v>57016.12</v>
      </c>
      <c r="D28" s="522">
        <f>C28/C$121</f>
        <v>1.574894349770703E-2</v>
      </c>
      <c r="E28" s="302" t="s">
        <v>955</v>
      </c>
      <c r="F28" s="302" t="s">
        <v>955</v>
      </c>
      <c r="G28" s="284" t="s">
        <v>998</v>
      </c>
      <c r="H28" s="284" t="s">
        <v>998</v>
      </c>
      <c r="I28" s="302" t="s">
        <v>955</v>
      </c>
      <c r="J28" s="302" t="s">
        <v>955</v>
      </c>
      <c r="K28" s="302" t="s">
        <v>955</v>
      </c>
      <c r="L28" s="303" t="s">
        <v>955</v>
      </c>
    </row>
    <row r="29" spans="1:12" ht="15.75" thickTop="1" x14ac:dyDescent="0.25">
      <c r="A29" s="517"/>
      <c r="B29" s="519"/>
      <c r="C29" s="521"/>
      <c r="D29" s="523"/>
      <c r="E29" s="304"/>
      <c r="F29" s="304"/>
      <c r="G29" s="312"/>
      <c r="H29" s="315"/>
      <c r="I29" s="304"/>
      <c r="J29" s="304"/>
      <c r="K29" s="304"/>
      <c r="L29" s="305"/>
    </row>
    <row r="30" spans="1:12" ht="26.25" thickBot="1" x14ac:dyDescent="0.3">
      <c r="A30" s="516" t="s">
        <v>686</v>
      </c>
      <c r="B30" s="518" t="s">
        <v>687</v>
      </c>
      <c r="C30" s="520">
        <f>'A-4_Planilha Básica de Orçament'!H47</f>
        <v>40069.160000000003</v>
      </c>
      <c r="D30" s="522">
        <f>C30/C$121</f>
        <v>1.1067868820968222E-2</v>
      </c>
      <c r="E30" s="302" t="s">
        <v>955</v>
      </c>
      <c r="F30" s="302" t="s">
        <v>955</v>
      </c>
      <c r="G30" s="302" t="s">
        <v>955</v>
      </c>
      <c r="H30" s="284" t="s">
        <v>999</v>
      </c>
      <c r="I30" s="302" t="s">
        <v>955</v>
      </c>
      <c r="J30" s="302" t="s">
        <v>955</v>
      </c>
      <c r="K30" s="302" t="s">
        <v>955</v>
      </c>
      <c r="L30" s="303" t="s">
        <v>955</v>
      </c>
    </row>
    <row r="31" spans="1:12" ht="15.75" thickTop="1" x14ac:dyDescent="0.25">
      <c r="A31" s="517"/>
      <c r="B31" s="519"/>
      <c r="C31" s="521"/>
      <c r="D31" s="523"/>
      <c r="E31" s="304"/>
      <c r="F31" s="304"/>
      <c r="G31" s="304"/>
      <c r="H31" s="301"/>
      <c r="I31" s="304"/>
      <c r="J31" s="304"/>
      <c r="K31" s="304"/>
      <c r="L31" s="305"/>
    </row>
    <row r="32" spans="1:12" ht="26.25" thickBot="1" x14ac:dyDescent="0.3">
      <c r="A32" s="516" t="s">
        <v>692</v>
      </c>
      <c r="B32" s="518" t="s">
        <v>360</v>
      </c>
      <c r="C32" s="520">
        <f>'A-4_Planilha Básica de Orçament'!H52</f>
        <v>27993</v>
      </c>
      <c r="D32" s="522">
        <f>C32/C$121</f>
        <v>7.7322023198231112E-3</v>
      </c>
      <c r="E32" s="302" t="s">
        <v>955</v>
      </c>
      <c r="F32" s="302" t="s">
        <v>955</v>
      </c>
      <c r="G32" s="302" t="s">
        <v>955</v>
      </c>
      <c r="H32" s="284" t="s">
        <v>1000</v>
      </c>
      <c r="I32" s="302" t="s">
        <v>955</v>
      </c>
      <c r="J32" s="302" t="s">
        <v>955</v>
      </c>
      <c r="K32" s="302" t="s">
        <v>955</v>
      </c>
      <c r="L32" s="303" t="s">
        <v>955</v>
      </c>
    </row>
    <row r="33" spans="1:12" ht="15.75" thickTop="1" x14ac:dyDescent="0.25">
      <c r="A33" s="517"/>
      <c r="B33" s="519"/>
      <c r="C33" s="521"/>
      <c r="D33" s="523"/>
      <c r="E33" s="304"/>
      <c r="F33" s="304"/>
      <c r="G33" s="304"/>
      <c r="H33" s="301"/>
      <c r="I33" s="304"/>
      <c r="J33" s="304"/>
      <c r="K33" s="304"/>
      <c r="L33" s="305"/>
    </row>
    <row r="34" spans="1:12" ht="25.5" x14ac:dyDescent="0.25">
      <c r="A34" s="196" t="s">
        <v>697</v>
      </c>
      <c r="B34" s="229" t="s">
        <v>698</v>
      </c>
      <c r="C34" s="227"/>
      <c r="D34" s="228"/>
      <c r="E34" s="307"/>
      <c r="F34" s="307"/>
      <c r="G34" s="307"/>
      <c r="H34" s="307"/>
      <c r="I34" s="307" t="s">
        <v>955</v>
      </c>
      <c r="J34" s="307" t="s">
        <v>955</v>
      </c>
      <c r="K34" s="307" t="s">
        <v>955</v>
      </c>
      <c r="L34" s="308" t="s">
        <v>955</v>
      </c>
    </row>
    <row r="35" spans="1:12" ht="26.25" thickBot="1" x14ac:dyDescent="0.3">
      <c r="A35" s="516" t="s">
        <v>699</v>
      </c>
      <c r="B35" s="518" t="s">
        <v>700</v>
      </c>
      <c r="C35" s="520">
        <f>'A-4_Planilha Básica de Orçament'!H58</f>
        <v>175538.49</v>
      </c>
      <c r="D35" s="522">
        <f>C35/C$121</f>
        <v>4.8487090329591177E-2</v>
      </c>
      <c r="E35" s="284" t="s">
        <v>1001</v>
      </c>
      <c r="F35" s="284" t="s">
        <v>1001</v>
      </c>
      <c r="G35" s="284" t="s">
        <v>1001</v>
      </c>
      <c r="H35" s="284" t="s">
        <v>1001</v>
      </c>
      <c r="I35" s="302" t="s">
        <v>955</v>
      </c>
      <c r="J35" s="302" t="s">
        <v>955</v>
      </c>
      <c r="K35" s="302" t="s">
        <v>955</v>
      </c>
      <c r="L35" s="303" t="s">
        <v>955</v>
      </c>
    </row>
    <row r="36" spans="1:12" ht="15.75" thickTop="1" x14ac:dyDescent="0.25">
      <c r="A36" s="517"/>
      <c r="B36" s="519"/>
      <c r="C36" s="521"/>
      <c r="D36" s="523"/>
      <c r="E36" s="312"/>
      <c r="F36" s="313"/>
      <c r="G36" s="313"/>
      <c r="H36" s="315"/>
      <c r="I36" s="304"/>
      <c r="J36" s="304"/>
      <c r="K36" s="304"/>
      <c r="L36" s="305"/>
    </row>
    <row r="37" spans="1:12" ht="25.5" x14ac:dyDescent="0.25">
      <c r="A37" s="196" t="s">
        <v>705</v>
      </c>
      <c r="B37" s="229" t="s">
        <v>706</v>
      </c>
      <c r="C37" s="227"/>
      <c r="D37" s="228"/>
      <c r="E37" s="307" t="s">
        <v>955</v>
      </c>
      <c r="F37" s="307" t="s">
        <v>955</v>
      </c>
      <c r="G37" s="307" t="s">
        <v>955</v>
      </c>
      <c r="H37" s="307" t="s">
        <v>955</v>
      </c>
      <c r="I37" s="307" t="s">
        <v>955</v>
      </c>
      <c r="J37" s="307" t="s">
        <v>955</v>
      </c>
      <c r="K37" s="307" t="s">
        <v>955</v>
      </c>
      <c r="L37" s="308" t="s">
        <v>955</v>
      </c>
    </row>
    <row r="38" spans="1:12" ht="26.25" thickBot="1" x14ac:dyDescent="0.3">
      <c r="A38" s="516" t="s">
        <v>707</v>
      </c>
      <c r="B38" s="518" t="s">
        <v>708</v>
      </c>
      <c r="C38" s="520">
        <f>'A-4_Planilha Básica de Orçament'!H64</f>
        <v>181713.89</v>
      </c>
      <c r="D38" s="522">
        <f>C38/C$121</f>
        <v>5.0192853992143814E-2</v>
      </c>
      <c r="E38" s="284" t="s">
        <v>1002</v>
      </c>
      <c r="F38" s="284" t="s">
        <v>1002</v>
      </c>
      <c r="G38" s="284" t="s">
        <v>1002</v>
      </c>
      <c r="H38" s="284" t="s">
        <v>1002</v>
      </c>
      <c r="I38" s="302" t="s">
        <v>955</v>
      </c>
      <c r="J38" s="302" t="s">
        <v>955</v>
      </c>
      <c r="K38" s="302" t="s">
        <v>955</v>
      </c>
      <c r="L38" s="303" t="s">
        <v>955</v>
      </c>
    </row>
    <row r="39" spans="1:12" ht="15.75" thickTop="1" x14ac:dyDescent="0.25">
      <c r="A39" s="517"/>
      <c r="B39" s="519"/>
      <c r="C39" s="521"/>
      <c r="D39" s="523"/>
      <c r="E39" s="312"/>
      <c r="F39" s="313"/>
      <c r="G39" s="313"/>
      <c r="H39" s="315"/>
      <c r="I39" s="304"/>
      <c r="J39" s="304"/>
      <c r="K39" s="304"/>
      <c r="L39" s="305"/>
    </row>
    <row r="40" spans="1:12" ht="38.25" customHeight="1" thickBot="1" x14ac:dyDescent="0.3">
      <c r="A40" s="516" t="s">
        <v>724</v>
      </c>
      <c r="B40" s="518" t="s">
        <v>725</v>
      </c>
      <c r="C40" s="520">
        <f>'A-4_Planilha Básica de Orçament'!H74</f>
        <v>26302.2</v>
      </c>
      <c r="D40" s="522">
        <f>C40/C$121</f>
        <v>7.2651710019094569E-3</v>
      </c>
      <c r="E40" s="302" t="s">
        <v>955</v>
      </c>
      <c r="F40" s="302" t="s">
        <v>955</v>
      </c>
      <c r="G40" s="284" t="s">
        <v>1003</v>
      </c>
      <c r="H40" s="302" t="s">
        <v>955</v>
      </c>
      <c r="I40" s="302" t="s">
        <v>955</v>
      </c>
      <c r="J40" s="302" t="s">
        <v>955</v>
      </c>
      <c r="K40" s="302" t="s">
        <v>955</v>
      </c>
      <c r="L40" s="303" t="s">
        <v>955</v>
      </c>
    </row>
    <row r="41" spans="1:12" ht="15.75" thickTop="1" x14ac:dyDescent="0.25">
      <c r="A41" s="517"/>
      <c r="B41" s="519"/>
      <c r="C41" s="521"/>
      <c r="D41" s="523"/>
      <c r="E41" s="304"/>
      <c r="F41" s="304"/>
      <c r="G41" s="301"/>
      <c r="H41" s="304"/>
      <c r="I41" s="304"/>
      <c r="J41" s="304"/>
      <c r="K41" s="304"/>
      <c r="L41" s="305"/>
    </row>
    <row r="42" spans="1:12" ht="26.25" thickBot="1" x14ac:dyDescent="0.3">
      <c r="A42" s="516" t="s">
        <v>730</v>
      </c>
      <c r="B42" s="518" t="s">
        <v>731</v>
      </c>
      <c r="C42" s="520">
        <f>'A-4_Planilha Básica de Orçament'!H79</f>
        <v>25081.72</v>
      </c>
      <c r="D42" s="522">
        <f>C42/C$121</f>
        <v>6.9280510688084062E-3</v>
      </c>
      <c r="E42" s="302" t="s">
        <v>955</v>
      </c>
      <c r="F42" s="302" t="s">
        <v>955</v>
      </c>
      <c r="G42" s="284" t="s">
        <v>1004</v>
      </c>
      <c r="H42" s="302" t="s">
        <v>955</v>
      </c>
      <c r="I42" s="302" t="s">
        <v>955</v>
      </c>
      <c r="J42" s="302" t="s">
        <v>955</v>
      </c>
      <c r="K42" s="302" t="s">
        <v>955</v>
      </c>
      <c r="L42" s="303" t="s">
        <v>955</v>
      </c>
    </row>
    <row r="43" spans="1:12" ht="15.75" thickTop="1" x14ac:dyDescent="0.25">
      <c r="A43" s="517"/>
      <c r="B43" s="519"/>
      <c r="C43" s="521"/>
      <c r="D43" s="523"/>
      <c r="E43" s="304"/>
      <c r="F43" s="304"/>
      <c r="G43" s="301"/>
      <c r="H43" s="304"/>
      <c r="I43" s="304"/>
      <c r="J43" s="304"/>
      <c r="K43" s="304"/>
      <c r="L43" s="305"/>
    </row>
    <row r="44" spans="1:12" x14ac:dyDescent="0.25">
      <c r="A44" s="196" t="s">
        <v>736</v>
      </c>
      <c r="B44" s="229" t="s">
        <v>100</v>
      </c>
      <c r="C44" s="227"/>
      <c r="D44" s="228"/>
      <c r="E44" s="307" t="s">
        <v>955</v>
      </c>
      <c r="F44" s="307" t="s">
        <v>955</v>
      </c>
      <c r="G44" s="307" t="s">
        <v>955</v>
      </c>
      <c r="H44" s="307" t="s">
        <v>955</v>
      </c>
      <c r="I44" s="307" t="s">
        <v>955</v>
      </c>
      <c r="J44" s="307" t="s">
        <v>955</v>
      </c>
      <c r="K44" s="307" t="s">
        <v>955</v>
      </c>
      <c r="L44" s="308" t="s">
        <v>955</v>
      </c>
    </row>
    <row r="45" spans="1:12" ht="26.25" thickBot="1" x14ac:dyDescent="0.3">
      <c r="A45" s="516" t="s">
        <v>737</v>
      </c>
      <c r="B45" s="518" t="s">
        <v>388</v>
      </c>
      <c r="C45" s="520">
        <f>'A-4_Planilha Básica de Orçament'!H85</f>
        <v>185904.4</v>
      </c>
      <c r="D45" s="522">
        <f>C45/C$121</f>
        <v>5.1350353050595633E-2</v>
      </c>
      <c r="E45" s="284" t="s">
        <v>1005</v>
      </c>
      <c r="F45" s="284" t="s">
        <v>1005</v>
      </c>
      <c r="G45" s="284" t="s">
        <v>1006</v>
      </c>
      <c r="H45" s="284" t="s">
        <v>1007</v>
      </c>
      <c r="I45" s="284" t="s">
        <v>1007</v>
      </c>
      <c r="J45" s="302" t="s">
        <v>955</v>
      </c>
      <c r="K45" s="302" t="s">
        <v>955</v>
      </c>
      <c r="L45" s="303" t="s">
        <v>955</v>
      </c>
    </row>
    <row r="46" spans="1:12" ht="15.75" thickTop="1" x14ac:dyDescent="0.25">
      <c r="A46" s="517"/>
      <c r="B46" s="519"/>
      <c r="C46" s="521"/>
      <c r="D46" s="523"/>
      <c r="E46" s="312"/>
      <c r="F46" s="313"/>
      <c r="G46" s="313"/>
      <c r="H46" s="313"/>
      <c r="I46" s="315"/>
      <c r="J46" s="304"/>
      <c r="K46" s="304"/>
      <c r="L46" s="305"/>
    </row>
    <row r="47" spans="1:12" ht="26.25" thickBot="1" x14ac:dyDescent="0.3">
      <c r="A47" s="516" t="s">
        <v>742</v>
      </c>
      <c r="B47" s="518" t="s">
        <v>106</v>
      </c>
      <c r="C47" s="520">
        <f>'A-4_Planilha Básica de Orçament'!H90</f>
        <v>425622.29</v>
      </c>
      <c r="D47" s="522">
        <f>C47/C$121</f>
        <v>0.11756502190213355</v>
      </c>
      <c r="E47" s="302" t="s">
        <v>955</v>
      </c>
      <c r="F47" s="302" t="s">
        <v>955</v>
      </c>
      <c r="G47" s="284" t="s">
        <v>1008</v>
      </c>
      <c r="H47" s="284" t="s">
        <v>1008</v>
      </c>
      <c r="I47" s="284" t="s">
        <v>1008</v>
      </c>
      <c r="J47" s="284" t="s">
        <v>1008</v>
      </c>
      <c r="K47" s="302" t="s">
        <v>955</v>
      </c>
      <c r="L47" s="303" t="s">
        <v>955</v>
      </c>
    </row>
    <row r="48" spans="1:12" ht="15.75" thickTop="1" x14ac:dyDescent="0.25">
      <c r="A48" s="517"/>
      <c r="B48" s="519"/>
      <c r="C48" s="521"/>
      <c r="D48" s="523"/>
      <c r="E48" s="304"/>
      <c r="F48" s="304"/>
      <c r="G48" s="312"/>
      <c r="H48" s="313"/>
      <c r="I48" s="313"/>
      <c r="J48" s="315"/>
      <c r="K48" s="304"/>
      <c r="L48" s="305"/>
    </row>
    <row r="49" spans="1:12" ht="26.25" thickBot="1" x14ac:dyDescent="0.3">
      <c r="A49" s="516" t="s">
        <v>747</v>
      </c>
      <c r="B49" s="518" t="s">
        <v>112</v>
      </c>
      <c r="C49" s="520">
        <f>'A-4_Planilha Básica de Orçament'!H95</f>
        <v>42722.9</v>
      </c>
      <c r="D49" s="522">
        <f>C49/C$121</f>
        <v>1.1800882595276348E-2</v>
      </c>
      <c r="E49" s="302" t="s">
        <v>955</v>
      </c>
      <c r="F49" s="302" t="s">
        <v>955</v>
      </c>
      <c r="G49" s="302" t="s">
        <v>955</v>
      </c>
      <c r="H49" s="302" t="s">
        <v>955</v>
      </c>
      <c r="I49" s="302" t="s">
        <v>955</v>
      </c>
      <c r="J49" s="284" t="s">
        <v>1009</v>
      </c>
      <c r="K49" s="302" t="s">
        <v>955</v>
      </c>
      <c r="L49" s="303" t="s">
        <v>955</v>
      </c>
    </row>
    <row r="50" spans="1:12" ht="15.75" thickTop="1" x14ac:dyDescent="0.25">
      <c r="A50" s="517"/>
      <c r="B50" s="519"/>
      <c r="C50" s="521"/>
      <c r="D50" s="523"/>
      <c r="E50" s="304"/>
      <c r="F50" s="304"/>
      <c r="G50" s="304"/>
      <c r="H50" s="304"/>
      <c r="I50" s="304"/>
      <c r="J50" s="301"/>
      <c r="K50" s="304"/>
      <c r="L50" s="305"/>
    </row>
    <row r="51" spans="1:12" ht="26.25" thickBot="1" x14ac:dyDescent="0.3">
      <c r="A51" s="516" t="s">
        <v>752</v>
      </c>
      <c r="B51" s="518" t="s">
        <v>399</v>
      </c>
      <c r="C51" s="520">
        <f>'A-4_Planilha Básica de Orçament'!H100</f>
        <v>58393.98</v>
      </c>
      <c r="D51" s="522">
        <f>C51/C$121</f>
        <v>1.6129534798689112E-2</v>
      </c>
      <c r="E51" s="302" t="s">
        <v>955</v>
      </c>
      <c r="F51" s="302" t="s">
        <v>955</v>
      </c>
      <c r="G51" s="302" t="s">
        <v>955</v>
      </c>
      <c r="H51" s="302" t="s">
        <v>955</v>
      </c>
      <c r="I51" s="284" t="s">
        <v>1010</v>
      </c>
      <c r="J51" s="284" t="s">
        <v>1011</v>
      </c>
      <c r="K51" s="284" t="s">
        <v>1011</v>
      </c>
      <c r="L51" s="303" t="s">
        <v>955</v>
      </c>
    </row>
    <row r="52" spans="1:12" ht="15.75" thickTop="1" x14ac:dyDescent="0.25">
      <c r="A52" s="517"/>
      <c r="B52" s="519"/>
      <c r="C52" s="521"/>
      <c r="D52" s="523"/>
      <c r="E52" s="304"/>
      <c r="F52" s="304"/>
      <c r="G52" s="304"/>
      <c r="H52" s="304"/>
      <c r="I52" s="312"/>
      <c r="J52" s="313"/>
      <c r="K52" s="315"/>
      <c r="L52" s="305"/>
    </row>
    <row r="53" spans="1:12" ht="25.5" x14ac:dyDescent="0.25">
      <c r="A53" s="196" t="s">
        <v>757</v>
      </c>
      <c r="B53" s="229" t="s">
        <v>758</v>
      </c>
      <c r="C53" s="227"/>
      <c r="D53" s="228"/>
      <c r="E53" s="307" t="s">
        <v>955</v>
      </c>
      <c r="F53" s="307" t="s">
        <v>955</v>
      </c>
      <c r="G53" s="307" t="s">
        <v>955</v>
      </c>
      <c r="H53" s="307" t="s">
        <v>955</v>
      </c>
      <c r="I53" s="307" t="s">
        <v>955</v>
      </c>
      <c r="J53" s="307" t="s">
        <v>955</v>
      </c>
      <c r="K53" s="307" t="s">
        <v>955</v>
      </c>
      <c r="L53" s="308" t="s">
        <v>955</v>
      </c>
    </row>
    <row r="54" spans="1:12" ht="26.25" thickBot="1" x14ac:dyDescent="0.3">
      <c r="A54" s="516" t="s">
        <v>759</v>
      </c>
      <c r="B54" s="518" t="s">
        <v>760</v>
      </c>
      <c r="C54" s="520">
        <f>'A-4_Planilha Básica de Orçament'!H106</f>
        <v>46037.26</v>
      </c>
      <c r="D54" s="522">
        <f>C54/C$121</f>
        <v>1.2716372256289063E-2</v>
      </c>
      <c r="E54" s="302" t="s">
        <v>955</v>
      </c>
      <c r="F54" s="302" t="s">
        <v>955</v>
      </c>
      <c r="G54" s="284" t="s">
        <v>1012</v>
      </c>
      <c r="H54" s="284" t="s">
        <v>1012</v>
      </c>
      <c r="I54" s="302" t="s">
        <v>955</v>
      </c>
      <c r="J54" s="302" t="s">
        <v>955</v>
      </c>
      <c r="K54" s="302" t="s">
        <v>955</v>
      </c>
      <c r="L54" s="303" t="s">
        <v>955</v>
      </c>
    </row>
    <row r="55" spans="1:12" ht="15.75" thickTop="1" x14ac:dyDescent="0.25">
      <c r="A55" s="517"/>
      <c r="B55" s="519"/>
      <c r="C55" s="521"/>
      <c r="D55" s="523"/>
      <c r="E55" s="304"/>
      <c r="F55" s="304"/>
      <c r="G55" s="312"/>
      <c r="H55" s="315"/>
      <c r="I55" s="304"/>
      <c r="J55" s="304"/>
      <c r="K55" s="304"/>
      <c r="L55" s="305"/>
    </row>
    <row r="56" spans="1:12" ht="26.25" thickBot="1" x14ac:dyDescent="0.3">
      <c r="A56" s="516" t="s">
        <v>765</v>
      </c>
      <c r="B56" s="518" t="s">
        <v>766</v>
      </c>
      <c r="C56" s="520">
        <f>'A-4_Planilha Básica de Orçament'!H111</f>
        <v>43579.48</v>
      </c>
      <c r="D56" s="522">
        <f>C56/C$121</f>
        <v>1.2037486384191937E-2</v>
      </c>
      <c r="E56" s="302" t="s">
        <v>955</v>
      </c>
      <c r="F56" s="302" t="s">
        <v>955</v>
      </c>
      <c r="G56" s="302" t="s">
        <v>955</v>
      </c>
      <c r="H56" s="284" t="s">
        <v>1013</v>
      </c>
      <c r="I56" s="302" t="s">
        <v>955</v>
      </c>
      <c r="J56" s="302" t="s">
        <v>955</v>
      </c>
      <c r="K56" s="302" t="s">
        <v>955</v>
      </c>
      <c r="L56" s="303" t="s">
        <v>955</v>
      </c>
    </row>
    <row r="57" spans="1:12" ht="15.75" thickTop="1" x14ac:dyDescent="0.25">
      <c r="A57" s="517"/>
      <c r="B57" s="519"/>
      <c r="C57" s="521"/>
      <c r="D57" s="523"/>
      <c r="E57" s="304"/>
      <c r="F57" s="304"/>
      <c r="G57" s="304"/>
      <c r="H57" s="301"/>
      <c r="I57" s="304"/>
      <c r="J57" s="304"/>
      <c r="K57" s="304"/>
      <c r="L57" s="305"/>
    </row>
    <row r="58" spans="1:12" ht="26.25" thickBot="1" x14ac:dyDescent="0.3">
      <c r="A58" s="516" t="s">
        <v>771</v>
      </c>
      <c r="B58" s="518" t="s">
        <v>772</v>
      </c>
      <c r="C58" s="520">
        <f>'A-4_Planilha Básica de Orçament'!H116</f>
        <v>40136.339999999997</v>
      </c>
      <c r="D58" s="522">
        <f>C58/C$121</f>
        <v>1.1086425222634555E-2</v>
      </c>
      <c r="E58" s="302" t="s">
        <v>955</v>
      </c>
      <c r="F58" s="302" t="s">
        <v>955</v>
      </c>
      <c r="G58" s="302" t="s">
        <v>955</v>
      </c>
      <c r="H58" s="284" t="s">
        <v>1014</v>
      </c>
      <c r="I58" s="302" t="s">
        <v>955</v>
      </c>
      <c r="J58" s="302" t="s">
        <v>955</v>
      </c>
      <c r="K58" s="302" t="s">
        <v>955</v>
      </c>
      <c r="L58" s="303" t="s">
        <v>955</v>
      </c>
    </row>
    <row r="59" spans="1:12" ht="15.75" thickTop="1" x14ac:dyDescent="0.25">
      <c r="A59" s="517"/>
      <c r="B59" s="519"/>
      <c r="C59" s="521"/>
      <c r="D59" s="523"/>
      <c r="E59" s="304"/>
      <c r="F59" s="304"/>
      <c r="G59" s="304"/>
      <c r="H59" s="301"/>
      <c r="I59" s="304"/>
      <c r="J59" s="304"/>
      <c r="K59" s="304"/>
      <c r="L59" s="305"/>
    </row>
    <row r="60" spans="1:12" ht="26.25" thickBot="1" x14ac:dyDescent="0.3">
      <c r="A60" s="516" t="s">
        <v>777</v>
      </c>
      <c r="B60" s="518" t="s">
        <v>778</v>
      </c>
      <c r="C60" s="520">
        <f>'A-4_Planilha Básica de Orçament'!H121</f>
        <v>33446.019999999997</v>
      </c>
      <c r="D60" s="522">
        <f>C60/C$121</f>
        <v>9.2384308017307952E-3</v>
      </c>
      <c r="E60" s="302" t="s">
        <v>955</v>
      </c>
      <c r="F60" s="302" t="s">
        <v>955</v>
      </c>
      <c r="G60" s="302" t="s">
        <v>955</v>
      </c>
      <c r="H60" s="284" t="s">
        <v>1015</v>
      </c>
      <c r="I60" s="302" t="s">
        <v>955</v>
      </c>
      <c r="J60" s="302" t="s">
        <v>955</v>
      </c>
      <c r="K60" s="302" t="s">
        <v>955</v>
      </c>
      <c r="L60" s="303" t="s">
        <v>955</v>
      </c>
    </row>
    <row r="61" spans="1:12" ht="15.75" thickTop="1" x14ac:dyDescent="0.25">
      <c r="A61" s="517"/>
      <c r="B61" s="519"/>
      <c r="C61" s="521"/>
      <c r="D61" s="523"/>
      <c r="E61" s="304"/>
      <c r="F61" s="304"/>
      <c r="G61" s="304"/>
      <c r="H61" s="301"/>
      <c r="I61" s="304"/>
      <c r="J61" s="304"/>
      <c r="K61" s="304"/>
      <c r="L61" s="305"/>
    </row>
    <row r="62" spans="1:12" ht="26.25" thickBot="1" x14ac:dyDescent="0.3">
      <c r="A62" s="516" t="s">
        <v>783</v>
      </c>
      <c r="B62" s="518" t="s">
        <v>411</v>
      </c>
      <c r="C62" s="520">
        <f>'A-4_Planilha Básica de Orçament'!H126</f>
        <v>35943</v>
      </c>
      <c r="D62" s="522">
        <f>C62/C$121</f>
        <v>9.9281444640232225E-3</v>
      </c>
      <c r="E62" s="302" t="s">
        <v>955</v>
      </c>
      <c r="F62" s="302" t="s">
        <v>955</v>
      </c>
      <c r="G62" s="302" t="s">
        <v>955</v>
      </c>
      <c r="H62" s="284" t="s">
        <v>1016</v>
      </c>
      <c r="I62" s="284" t="s">
        <v>1016</v>
      </c>
      <c r="J62" s="302" t="s">
        <v>955</v>
      </c>
      <c r="K62" s="302" t="s">
        <v>955</v>
      </c>
      <c r="L62" s="303" t="s">
        <v>955</v>
      </c>
    </row>
    <row r="63" spans="1:12" ht="15.75" thickTop="1" x14ac:dyDescent="0.25">
      <c r="A63" s="517"/>
      <c r="B63" s="519"/>
      <c r="C63" s="521"/>
      <c r="D63" s="523"/>
      <c r="E63" s="304"/>
      <c r="F63" s="304"/>
      <c r="G63" s="304"/>
      <c r="H63" s="312"/>
      <c r="I63" s="315"/>
      <c r="J63" s="304"/>
      <c r="K63" s="304"/>
      <c r="L63" s="305"/>
    </row>
    <row r="64" spans="1:12" ht="26.25" thickBot="1" x14ac:dyDescent="0.3">
      <c r="A64" s="516" t="s">
        <v>788</v>
      </c>
      <c r="B64" s="518" t="s">
        <v>405</v>
      </c>
      <c r="C64" s="520">
        <f>'A-4_Planilha Básica de Orçament'!H131</f>
        <v>89577.600000000006</v>
      </c>
      <c r="D64" s="522">
        <f>C64/C$121</f>
        <v>2.4743047423433955E-2</v>
      </c>
      <c r="E64" s="302" t="s">
        <v>955</v>
      </c>
      <c r="F64" s="302" t="s">
        <v>955</v>
      </c>
      <c r="G64" s="302" t="s">
        <v>955</v>
      </c>
      <c r="H64" s="302" t="s">
        <v>955</v>
      </c>
      <c r="I64" s="284" t="s">
        <v>1017</v>
      </c>
      <c r="J64" s="284" t="s">
        <v>1017</v>
      </c>
      <c r="K64" s="302" t="s">
        <v>955</v>
      </c>
      <c r="L64" s="303" t="s">
        <v>955</v>
      </c>
    </row>
    <row r="65" spans="1:12" ht="15.75" thickTop="1" x14ac:dyDescent="0.25">
      <c r="A65" s="517"/>
      <c r="B65" s="519"/>
      <c r="C65" s="521"/>
      <c r="D65" s="523"/>
      <c r="E65" s="304"/>
      <c r="F65" s="304"/>
      <c r="G65" s="304"/>
      <c r="H65" s="304"/>
      <c r="I65" s="312"/>
      <c r="J65" s="315"/>
      <c r="K65" s="304"/>
      <c r="L65" s="305"/>
    </row>
    <row r="66" spans="1:12" ht="26.25" thickBot="1" x14ac:dyDescent="0.3">
      <c r="A66" s="516" t="s">
        <v>793</v>
      </c>
      <c r="B66" s="518" t="s">
        <v>417</v>
      </c>
      <c r="C66" s="520">
        <f>'A-4_Planilha Básica de Orçament'!H136</f>
        <v>24544.240000000002</v>
      </c>
      <c r="D66" s="522">
        <f>C66/C$121</f>
        <v>6.7795888067122209E-3</v>
      </c>
      <c r="E66" s="302" t="s">
        <v>955</v>
      </c>
      <c r="F66" s="302" t="s">
        <v>955</v>
      </c>
      <c r="G66" s="302" t="s">
        <v>955</v>
      </c>
      <c r="H66" s="302" t="s">
        <v>955</v>
      </c>
      <c r="I66" s="302" t="s">
        <v>955</v>
      </c>
      <c r="J66" s="284" t="s">
        <v>1018</v>
      </c>
      <c r="K66" s="302" t="s">
        <v>955</v>
      </c>
      <c r="L66" s="303" t="s">
        <v>955</v>
      </c>
    </row>
    <row r="67" spans="1:12" ht="15.75" thickTop="1" x14ac:dyDescent="0.25">
      <c r="A67" s="517"/>
      <c r="B67" s="519"/>
      <c r="C67" s="521"/>
      <c r="D67" s="523"/>
      <c r="E67" s="304"/>
      <c r="F67" s="304"/>
      <c r="G67" s="304"/>
      <c r="H67" s="304"/>
      <c r="I67" s="304"/>
      <c r="J67" s="301"/>
      <c r="K67" s="304"/>
      <c r="L67" s="305"/>
    </row>
    <row r="68" spans="1:12" ht="26.25" thickBot="1" x14ac:dyDescent="0.3">
      <c r="A68" s="516" t="s">
        <v>798</v>
      </c>
      <c r="B68" s="518" t="s">
        <v>423</v>
      </c>
      <c r="C68" s="520">
        <f>'A-4_Planilha Básica de Orçament'!H141</f>
        <v>50796.07</v>
      </c>
      <c r="D68" s="522">
        <f>C68/C$121</f>
        <v>1.403084665065899E-2</v>
      </c>
      <c r="E68" s="302" t="s">
        <v>955</v>
      </c>
      <c r="F68" s="302" t="s">
        <v>955</v>
      </c>
      <c r="G68" s="302" t="s">
        <v>955</v>
      </c>
      <c r="H68" s="302" t="s">
        <v>955</v>
      </c>
      <c r="I68" s="284" t="s">
        <v>1019</v>
      </c>
      <c r="J68" s="302" t="s">
        <v>955</v>
      </c>
      <c r="K68" s="302" t="s">
        <v>955</v>
      </c>
      <c r="L68" s="303" t="s">
        <v>955</v>
      </c>
    </row>
    <row r="69" spans="1:12" ht="15.75" thickTop="1" x14ac:dyDescent="0.25">
      <c r="A69" s="517"/>
      <c r="B69" s="519"/>
      <c r="C69" s="521"/>
      <c r="D69" s="523"/>
      <c r="E69" s="304"/>
      <c r="F69" s="304"/>
      <c r="G69" s="304"/>
      <c r="H69" s="304"/>
      <c r="I69" s="301"/>
      <c r="J69" s="304"/>
      <c r="K69" s="304"/>
      <c r="L69" s="305"/>
    </row>
    <row r="70" spans="1:12" ht="26.25" thickBot="1" x14ac:dyDescent="0.3">
      <c r="A70" s="516" t="s">
        <v>803</v>
      </c>
      <c r="B70" s="518" t="s">
        <v>804</v>
      </c>
      <c r="C70" s="520">
        <f>'A-4_Planilha Básica de Orçament'!H146</f>
        <v>50796.07</v>
      </c>
      <c r="D70" s="522">
        <f>C70/C$121</f>
        <v>1.403084665065899E-2</v>
      </c>
      <c r="E70" s="302" t="s">
        <v>955</v>
      </c>
      <c r="F70" s="302" t="s">
        <v>955</v>
      </c>
      <c r="G70" s="302" t="s">
        <v>955</v>
      </c>
      <c r="H70" s="284" t="s">
        <v>1020</v>
      </c>
      <c r="I70" s="284" t="s">
        <v>1020</v>
      </c>
      <c r="J70" s="302" t="s">
        <v>955</v>
      </c>
      <c r="K70" s="302" t="s">
        <v>955</v>
      </c>
      <c r="L70" s="303" t="s">
        <v>955</v>
      </c>
    </row>
    <row r="71" spans="1:12" ht="15.75" thickTop="1" x14ac:dyDescent="0.25">
      <c r="A71" s="517"/>
      <c r="B71" s="519"/>
      <c r="C71" s="521"/>
      <c r="D71" s="523"/>
      <c r="E71" s="304"/>
      <c r="F71" s="304"/>
      <c r="G71" s="304"/>
      <c r="H71" s="312"/>
      <c r="I71" s="315"/>
      <c r="J71" s="304"/>
      <c r="K71" s="304"/>
      <c r="L71" s="305"/>
    </row>
    <row r="72" spans="1:12" ht="26.25" thickBot="1" x14ac:dyDescent="0.3">
      <c r="A72" s="516" t="s">
        <v>809</v>
      </c>
      <c r="B72" s="518" t="s">
        <v>810</v>
      </c>
      <c r="C72" s="520">
        <f>'A-4_Planilha Básica de Orçament'!H151</f>
        <v>24824.17</v>
      </c>
      <c r="D72" s="522">
        <f>C72/C$121</f>
        <v>6.856910829910451E-3</v>
      </c>
      <c r="E72" s="302" t="s">
        <v>955</v>
      </c>
      <c r="F72" s="302" t="s">
        <v>955</v>
      </c>
      <c r="G72" s="302" t="s">
        <v>955</v>
      </c>
      <c r="H72" s="302" t="s">
        <v>955</v>
      </c>
      <c r="I72" s="284" t="s">
        <v>1021</v>
      </c>
      <c r="J72" s="302" t="s">
        <v>955</v>
      </c>
      <c r="K72" s="302" t="s">
        <v>955</v>
      </c>
      <c r="L72" s="303" t="s">
        <v>955</v>
      </c>
    </row>
    <row r="73" spans="1:12" ht="15.75" thickTop="1" x14ac:dyDescent="0.25">
      <c r="A73" s="517"/>
      <c r="B73" s="519"/>
      <c r="C73" s="521"/>
      <c r="D73" s="523"/>
      <c r="E73" s="304"/>
      <c r="F73" s="304"/>
      <c r="G73" s="304"/>
      <c r="H73" s="304"/>
      <c r="I73" s="301"/>
      <c r="J73" s="304"/>
      <c r="K73" s="304"/>
      <c r="L73" s="305"/>
    </row>
    <row r="74" spans="1:12" ht="25.5" x14ac:dyDescent="0.25">
      <c r="A74" s="196" t="s">
        <v>815</v>
      </c>
      <c r="B74" s="229" t="s">
        <v>140</v>
      </c>
      <c r="C74" s="227"/>
      <c r="D74" s="228"/>
      <c r="E74" s="307" t="s">
        <v>955</v>
      </c>
      <c r="F74" s="307" t="s">
        <v>955</v>
      </c>
      <c r="G74" s="307" t="s">
        <v>955</v>
      </c>
      <c r="H74" s="307" t="s">
        <v>955</v>
      </c>
      <c r="I74" s="307" t="s">
        <v>955</v>
      </c>
      <c r="J74" s="307" t="s">
        <v>955</v>
      </c>
      <c r="K74" s="307" t="s">
        <v>955</v>
      </c>
      <c r="L74" s="308" t="s">
        <v>955</v>
      </c>
    </row>
    <row r="75" spans="1:12" ht="26.25" thickBot="1" x14ac:dyDescent="0.3">
      <c r="A75" s="516" t="s">
        <v>816</v>
      </c>
      <c r="B75" s="518" t="s">
        <v>437</v>
      </c>
      <c r="C75" s="520">
        <f>'A-4_Planilha Básica de Orçament'!H157</f>
        <v>135875.97</v>
      </c>
      <c r="D75" s="522">
        <f>C75/C$121</f>
        <v>3.7531543258750952E-2</v>
      </c>
      <c r="E75" s="302" t="s">
        <v>955</v>
      </c>
      <c r="F75" s="302" t="s">
        <v>955</v>
      </c>
      <c r="G75" s="302" t="s">
        <v>955</v>
      </c>
      <c r="H75" s="284" t="s">
        <v>1022</v>
      </c>
      <c r="I75" s="284" t="s">
        <v>1022</v>
      </c>
      <c r="J75" s="284" t="s">
        <v>1023</v>
      </c>
      <c r="K75" s="302" t="s">
        <v>955</v>
      </c>
      <c r="L75" s="303" t="s">
        <v>955</v>
      </c>
    </row>
    <row r="76" spans="1:12" ht="15.75" thickTop="1" x14ac:dyDescent="0.25">
      <c r="A76" s="517"/>
      <c r="B76" s="519"/>
      <c r="C76" s="521"/>
      <c r="D76" s="523"/>
      <c r="E76" s="304"/>
      <c r="F76" s="304"/>
      <c r="G76" s="304"/>
      <c r="H76" s="312"/>
      <c r="I76" s="313"/>
      <c r="J76" s="315"/>
      <c r="K76" s="304"/>
      <c r="L76" s="305"/>
    </row>
    <row r="77" spans="1:12" ht="26.25" thickBot="1" x14ac:dyDescent="0.3">
      <c r="A77" s="516" t="s">
        <v>821</v>
      </c>
      <c r="B77" s="518" t="s">
        <v>161</v>
      </c>
      <c r="C77" s="520">
        <f>'A-4_Planilha Básica de Orçament'!H162</f>
        <v>61394.23</v>
      </c>
      <c r="D77" s="522">
        <f>C77/C$121</f>
        <v>1.6958261266379226E-2</v>
      </c>
      <c r="E77" s="302" t="s">
        <v>955</v>
      </c>
      <c r="F77" s="302" t="s">
        <v>955</v>
      </c>
      <c r="G77" s="302" t="s">
        <v>955</v>
      </c>
      <c r="H77" s="302" t="s">
        <v>955</v>
      </c>
      <c r="I77" s="284" t="s">
        <v>1024</v>
      </c>
      <c r="J77" s="284" t="s">
        <v>1024</v>
      </c>
      <c r="K77" s="302" t="s">
        <v>955</v>
      </c>
      <c r="L77" s="303" t="s">
        <v>955</v>
      </c>
    </row>
    <row r="78" spans="1:12" ht="15.75" thickTop="1" x14ac:dyDescent="0.25">
      <c r="A78" s="517"/>
      <c r="B78" s="519"/>
      <c r="C78" s="521"/>
      <c r="D78" s="523"/>
      <c r="E78" s="304"/>
      <c r="F78" s="304"/>
      <c r="G78" s="304"/>
      <c r="H78" s="304"/>
      <c r="I78" s="312"/>
      <c r="J78" s="315"/>
      <c r="K78" s="304"/>
      <c r="L78" s="305"/>
    </row>
    <row r="79" spans="1:12" ht="26.25" thickBot="1" x14ac:dyDescent="0.3">
      <c r="A79" s="516" t="s">
        <v>826</v>
      </c>
      <c r="B79" s="518" t="s">
        <v>827</v>
      </c>
      <c r="C79" s="520">
        <f>'A-4_Planilha Básica de Orçament'!H167</f>
        <v>47806.43</v>
      </c>
      <c r="D79" s="522">
        <f>C79/C$121</f>
        <v>1.3205050868019189E-2</v>
      </c>
      <c r="E79" s="302" t="s">
        <v>955</v>
      </c>
      <c r="F79" s="302" t="s">
        <v>955</v>
      </c>
      <c r="G79" s="302" t="s">
        <v>955</v>
      </c>
      <c r="H79" s="302" t="s">
        <v>955</v>
      </c>
      <c r="I79" s="284" t="s">
        <v>1025</v>
      </c>
      <c r="J79" s="284" t="s">
        <v>1025</v>
      </c>
      <c r="K79" s="302" t="s">
        <v>955</v>
      </c>
      <c r="L79" s="303" t="s">
        <v>955</v>
      </c>
    </row>
    <row r="80" spans="1:12" ht="15.75" thickTop="1" x14ac:dyDescent="0.25">
      <c r="A80" s="517"/>
      <c r="B80" s="519"/>
      <c r="C80" s="521"/>
      <c r="D80" s="523"/>
      <c r="E80" s="304"/>
      <c r="F80" s="304"/>
      <c r="G80" s="304"/>
      <c r="H80" s="304"/>
      <c r="I80" s="312"/>
      <c r="J80" s="315"/>
      <c r="K80" s="304"/>
      <c r="L80" s="305"/>
    </row>
    <row r="81" spans="1:12" ht="26.25" thickBot="1" x14ac:dyDescent="0.3">
      <c r="A81" s="516" t="s">
        <v>832</v>
      </c>
      <c r="B81" s="518" t="s">
        <v>833</v>
      </c>
      <c r="C81" s="520">
        <f>'A-4_Planilha Básica de Orçament'!H172</f>
        <v>59485.120000000003</v>
      </c>
      <c r="D81" s="522">
        <f>C81/C$121</f>
        <v>1.6430928548528421E-2</v>
      </c>
      <c r="E81" s="302" t="s">
        <v>955</v>
      </c>
      <c r="F81" s="302" t="s">
        <v>955</v>
      </c>
      <c r="G81" s="302" t="s">
        <v>955</v>
      </c>
      <c r="H81" s="284" t="s">
        <v>1026</v>
      </c>
      <c r="I81" s="284" t="s">
        <v>1026</v>
      </c>
      <c r="J81" s="302" t="s">
        <v>955</v>
      </c>
      <c r="K81" s="302" t="s">
        <v>955</v>
      </c>
      <c r="L81" s="303" t="s">
        <v>955</v>
      </c>
    </row>
    <row r="82" spans="1:12" ht="15.75" thickTop="1" x14ac:dyDescent="0.25">
      <c r="A82" s="517"/>
      <c r="B82" s="519"/>
      <c r="C82" s="521"/>
      <c r="D82" s="523"/>
      <c r="E82" s="304"/>
      <c r="F82" s="304"/>
      <c r="G82" s="304"/>
      <c r="H82" s="312"/>
      <c r="I82" s="315"/>
      <c r="J82" s="304"/>
      <c r="K82" s="304"/>
      <c r="L82" s="305"/>
    </row>
    <row r="83" spans="1:12" ht="26.25" thickBot="1" x14ac:dyDescent="0.3">
      <c r="A83" s="516" t="s">
        <v>838</v>
      </c>
      <c r="B83" s="518" t="s">
        <v>439</v>
      </c>
      <c r="C83" s="520">
        <f>'A-4_Planilha Básica de Orçament'!H177</f>
        <v>65794.73</v>
      </c>
      <c r="D83" s="522">
        <f>C83/C$121</f>
        <v>1.817376358154307E-2</v>
      </c>
      <c r="E83" s="302" t="s">
        <v>955</v>
      </c>
      <c r="F83" s="302" t="s">
        <v>955</v>
      </c>
      <c r="G83" s="302" t="s">
        <v>955</v>
      </c>
      <c r="H83" s="284" t="s">
        <v>1027</v>
      </c>
      <c r="I83" s="284" t="s">
        <v>1027</v>
      </c>
      <c r="J83" s="284" t="s">
        <v>1028</v>
      </c>
      <c r="K83" s="302" t="s">
        <v>955</v>
      </c>
      <c r="L83" s="303" t="s">
        <v>955</v>
      </c>
    </row>
    <row r="84" spans="1:12" ht="15.75" thickTop="1" x14ac:dyDescent="0.25">
      <c r="A84" s="517"/>
      <c r="B84" s="519"/>
      <c r="C84" s="521"/>
      <c r="D84" s="523"/>
      <c r="E84" s="304"/>
      <c r="F84" s="304"/>
      <c r="G84" s="304"/>
      <c r="H84" s="312"/>
      <c r="I84" s="313"/>
      <c r="J84" s="315"/>
      <c r="K84" s="304"/>
      <c r="L84" s="305"/>
    </row>
    <row r="85" spans="1:12" ht="26.25" thickBot="1" x14ac:dyDescent="0.3">
      <c r="A85" s="516" t="s">
        <v>843</v>
      </c>
      <c r="B85" s="518" t="s">
        <v>173</v>
      </c>
      <c r="C85" s="520">
        <f>'A-4_Planilha Básica de Orçament'!H182</f>
        <v>158507.54999999999</v>
      </c>
      <c r="D85" s="522">
        <f>C85/C$121</f>
        <v>4.3782818769673763E-2</v>
      </c>
      <c r="E85" s="302" t="s">
        <v>955</v>
      </c>
      <c r="F85" s="302" t="s">
        <v>955</v>
      </c>
      <c r="G85" s="284" t="s">
        <v>1029</v>
      </c>
      <c r="H85" s="284" t="s">
        <v>1029</v>
      </c>
      <c r="I85" s="284" t="s">
        <v>1029</v>
      </c>
      <c r="J85" s="284" t="s">
        <v>1029</v>
      </c>
      <c r="K85" s="302" t="s">
        <v>955</v>
      </c>
      <c r="L85" s="303" t="s">
        <v>955</v>
      </c>
    </row>
    <row r="86" spans="1:12" ht="15.75" thickTop="1" x14ac:dyDescent="0.25">
      <c r="A86" s="517"/>
      <c r="B86" s="519"/>
      <c r="C86" s="521"/>
      <c r="D86" s="523"/>
      <c r="E86" s="304"/>
      <c r="F86" s="304"/>
      <c r="G86" s="312"/>
      <c r="H86" s="313"/>
      <c r="I86" s="313"/>
      <c r="J86" s="315"/>
      <c r="K86" s="304"/>
      <c r="L86" s="305"/>
    </row>
    <row r="87" spans="1:12" x14ac:dyDescent="0.25">
      <c r="A87" s="196" t="s">
        <v>848</v>
      </c>
      <c r="B87" s="229" t="s">
        <v>849</v>
      </c>
      <c r="C87" s="227"/>
      <c r="D87" s="228"/>
      <c r="E87" s="307" t="s">
        <v>955</v>
      </c>
      <c r="F87" s="307" t="s">
        <v>955</v>
      </c>
      <c r="G87" s="307" t="s">
        <v>955</v>
      </c>
      <c r="H87" s="307" t="s">
        <v>955</v>
      </c>
      <c r="I87" s="307" t="s">
        <v>955</v>
      </c>
      <c r="J87" s="307" t="s">
        <v>955</v>
      </c>
      <c r="K87" s="307" t="s">
        <v>955</v>
      </c>
      <c r="L87" s="308" t="s">
        <v>955</v>
      </c>
    </row>
    <row r="88" spans="1:12" ht="26.25" thickBot="1" x14ac:dyDescent="0.3">
      <c r="A88" s="516" t="s">
        <v>850</v>
      </c>
      <c r="B88" s="518" t="s">
        <v>851</v>
      </c>
      <c r="C88" s="520">
        <f>'A-4_Planilha Básica de Orçament'!H188</f>
        <v>179155.20000000001</v>
      </c>
      <c r="D88" s="522">
        <f>C88/C$121</f>
        <v>4.948609484686791E-2</v>
      </c>
      <c r="E88" s="302" t="s">
        <v>955</v>
      </c>
      <c r="F88" s="302" t="s">
        <v>955</v>
      </c>
      <c r="G88" s="302" t="s">
        <v>955</v>
      </c>
      <c r="H88" s="284" t="s">
        <v>1030</v>
      </c>
      <c r="I88" s="284" t="s">
        <v>1031</v>
      </c>
      <c r="J88" s="284" t="s">
        <v>1032</v>
      </c>
      <c r="K88" s="284" t="s">
        <v>1033</v>
      </c>
      <c r="L88" s="303" t="s">
        <v>955</v>
      </c>
    </row>
    <row r="89" spans="1:12" ht="15.75" thickTop="1" x14ac:dyDescent="0.25">
      <c r="A89" s="517"/>
      <c r="B89" s="519"/>
      <c r="C89" s="521"/>
      <c r="D89" s="523"/>
      <c r="E89" s="304"/>
      <c r="F89" s="304"/>
      <c r="G89" s="304"/>
      <c r="H89" s="312"/>
      <c r="I89" s="313"/>
      <c r="J89" s="313"/>
      <c r="K89" s="315"/>
      <c r="L89" s="305"/>
    </row>
    <row r="90" spans="1:12" ht="26.25" thickBot="1" x14ac:dyDescent="0.3">
      <c r="A90" s="516" t="s">
        <v>856</v>
      </c>
      <c r="B90" s="518" t="s">
        <v>857</v>
      </c>
      <c r="C90" s="520">
        <f>'A-4_Planilha Básica de Orçament'!H193</f>
        <v>52884.35</v>
      </c>
      <c r="D90" s="522">
        <f>C90/C$121</f>
        <v>1.4607669551399896E-2</v>
      </c>
      <c r="E90" s="302" t="s">
        <v>955</v>
      </c>
      <c r="F90" s="302" t="s">
        <v>955</v>
      </c>
      <c r="G90" s="302" t="s">
        <v>955</v>
      </c>
      <c r="H90" s="302" t="s">
        <v>955</v>
      </c>
      <c r="I90" s="284" t="s">
        <v>1034</v>
      </c>
      <c r="J90" s="284" t="s">
        <v>1035</v>
      </c>
      <c r="K90" s="284" t="s">
        <v>1035</v>
      </c>
      <c r="L90" s="303" t="s">
        <v>955</v>
      </c>
    </row>
    <row r="91" spans="1:12" ht="15.75" thickTop="1" x14ac:dyDescent="0.25">
      <c r="A91" s="517"/>
      <c r="B91" s="519"/>
      <c r="C91" s="521"/>
      <c r="D91" s="523"/>
      <c r="E91" s="304"/>
      <c r="F91" s="304"/>
      <c r="G91" s="304"/>
      <c r="H91" s="304"/>
      <c r="I91" s="312"/>
      <c r="J91" s="313"/>
      <c r="K91" s="315"/>
      <c r="L91" s="305"/>
    </row>
    <row r="92" spans="1:12" ht="26.25" thickBot="1" x14ac:dyDescent="0.3">
      <c r="A92" s="516" t="s">
        <v>862</v>
      </c>
      <c r="B92" s="518" t="s">
        <v>863</v>
      </c>
      <c r="C92" s="520">
        <f>'A-4_Planilha Básica de Orçament'!H198</f>
        <v>63583.28</v>
      </c>
      <c r="D92" s="522">
        <f>C92/C$121</f>
        <v>1.7562918769619632E-2</v>
      </c>
      <c r="E92" s="302" t="s">
        <v>955</v>
      </c>
      <c r="F92" s="302" t="s">
        <v>955</v>
      </c>
      <c r="G92" s="302" t="s">
        <v>955</v>
      </c>
      <c r="H92" s="284" t="s">
        <v>1036</v>
      </c>
      <c r="I92" s="284" t="s">
        <v>1036</v>
      </c>
      <c r="J92" s="302" t="s">
        <v>955</v>
      </c>
      <c r="K92" s="302" t="s">
        <v>955</v>
      </c>
      <c r="L92" s="303" t="s">
        <v>955</v>
      </c>
    </row>
    <row r="93" spans="1:12" ht="15.75" thickTop="1" x14ac:dyDescent="0.25">
      <c r="A93" s="517"/>
      <c r="B93" s="519"/>
      <c r="C93" s="521"/>
      <c r="D93" s="523"/>
      <c r="E93" s="304"/>
      <c r="F93" s="304"/>
      <c r="G93" s="304"/>
      <c r="H93" s="312"/>
      <c r="I93" s="315"/>
      <c r="J93" s="304"/>
      <c r="K93" s="304"/>
      <c r="L93" s="305"/>
    </row>
    <row r="94" spans="1:12" ht="26.25" thickBot="1" x14ac:dyDescent="0.3">
      <c r="A94" s="516" t="s">
        <v>868</v>
      </c>
      <c r="B94" s="518" t="s">
        <v>869</v>
      </c>
      <c r="C94" s="520">
        <f>'A-4_Planilha Básica de Orçament'!H203</f>
        <v>67222.37</v>
      </c>
      <c r="D94" s="522">
        <f>C94/C$121</f>
        <v>1.8568105071196637E-2</v>
      </c>
      <c r="E94" s="302" t="s">
        <v>955</v>
      </c>
      <c r="F94" s="302" t="s">
        <v>955</v>
      </c>
      <c r="G94" s="302" t="s">
        <v>955</v>
      </c>
      <c r="H94" s="302" t="s">
        <v>955</v>
      </c>
      <c r="I94" s="284" t="s">
        <v>1037</v>
      </c>
      <c r="J94" s="284" t="s">
        <v>1038</v>
      </c>
      <c r="K94" s="284" t="s">
        <v>1038</v>
      </c>
      <c r="L94" s="303" t="s">
        <v>955</v>
      </c>
    </row>
    <row r="95" spans="1:12" ht="15.75" thickTop="1" x14ac:dyDescent="0.25">
      <c r="A95" s="517"/>
      <c r="B95" s="519"/>
      <c r="C95" s="521"/>
      <c r="D95" s="523"/>
      <c r="E95" s="304"/>
      <c r="F95" s="304"/>
      <c r="G95" s="304"/>
      <c r="H95" s="304"/>
      <c r="I95" s="312"/>
      <c r="J95" s="313"/>
      <c r="K95" s="315"/>
      <c r="L95" s="305"/>
    </row>
    <row r="96" spans="1:12" ht="26.25" thickBot="1" x14ac:dyDescent="0.3">
      <c r="A96" s="516" t="s">
        <v>874</v>
      </c>
      <c r="B96" s="518" t="s">
        <v>875</v>
      </c>
      <c r="C96" s="520">
        <f>'A-4_Planilha Básica de Orçament'!H208</f>
        <v>76616.83</v>
      </c>
      <c r="D96" s="522">
        <f>C96/C$121</f>
        <v>2.1163034710945341E-2</v>
      </c>
      <c r="E96" s="302" t="s">
        <v>955</v>
      </c>
      <c r="F96" s="302" t="s">
        <v>955</v>
      </c>
      <c r="G96" s="302" t="s">
        <v>955</v>
      </c>
      <c r="H96" s="302" t="s">
        <v>955</v>
      </c>
      <c r="I96" s="302" t="s">
        <v>955</v>
      </c>
      <c r="J96" s="284" t="s">
        <v>1039</v>
      </c>
      <c r="K96" s="284" t="s">
        <v>1040</v>
      </c>
      <c r="L96" s="309" t="s">
        <v>1040</v>
      </c>
    </row>
    <row r="97" spans="1:12" ht="15.75" thickTop="1" x14ac:dyDescent="0.25">
      <c r="A97" s="517"/>
      <c r="B97" s="519"/>
      <c r="C97" s="521"/>
      <c r="D97" s="523"/>
      <c r="E97" s="304"/>
      <c r="F97" s="304"/>
      <c r="G97" s="304"/>
      <c r="H97" s="304"/>
      <c r="I97" s="304"/>
      <c r="J97" s="312"/>
      <c r="K97" s="313"/>
      <c r="L97" s="314"/>
    </row>
    <row r="98" spans="1:12" ht="26.25" thickBot="1" x14ac:dyDescent="0.3">
      <c r="A98" s="516" t="s">
        <v>880</v>
      </c>
      <c r="B98" s="518" t="s">
        <v>881</v>
      </c>
      <c r="C98" s="520">
        <f>'A-4_Planilha Básica de Orçament'!H213</f>
        <v>97818.72</v>
      </c>
      <c r="D98" s="522">
        <f>C98/C$121</f>
        <v>2.7019402482982437E-2</v>
      </c>
      <c r="E98" s="302" t="s">
        <v>955</v>
      </c>
      <c r="F98" s="302" t="s">
        <v>955</v>
      </c>
      <c r="G98" s="302" t="s">
        <v>955</v>
      </c>
      <c r="H98" s="302" t="s">
        <v>955</v>
      </c>
      <c r="I98" s="284" t="s">
        <v>1041</v>
      </c>
      <c r="J98" s="284" t="s">
        <v>1041</v>
      </c>
      <c r="K98" s="284" t="s">
        <v>1041</v>
      </c>
      <c r="L98" s="309" t="s">
        <v>1041</v>
      </c>
    </row>
    <row r="99" spans="1:12" ht="15.75" thickTop="1" x14ac:dyDescent="0.25">
      <c r="A99" s="517"/>
      <c r="B99" s="519"/>
      <c r="C99" s="521"/>
      <c r="D99" s="523"/>
      <c r="E99" s="304"/>
      <c r="F99" s="304"/>
      <c r="G99" s="304"/>
      <c r="H99" s="304"/>
      <c r="I99" s="312"/>
      <c r="J99" s="313"/>
      <c r="K99" s="313"/>
      <c r="L99" s="314"/>
    </row>
    <row r="100" spans="1:12" ht="26.25" thickBot="1" x14ac:dyDescent="0.3">
      <c r="A100" s="516" t="s">
        <v>886</v>
      </c>
      <c r="B100" s="518" t="s">
        <v>244</v>
      </c>
      <c r="C100" s="520">
        <f>'A-4_Planilha Básica de Orçament'!H218</f>
        <v>52833.98</v>
      </c>
      <c r="D100" s="522">
        <f>C100/C$121</f>
        <v>1.4593756393437211E-2</v>
      </c>
      <c r="E100" s="302" t="s">
        <v>955</v>
      </c>
      <c r="F100" s="302" t="s">
        <v>955</v>
      </c>
      <c r="G100" s="302" t="s">
        <v>955</v>
      </c>
      <c r="H100" s="302" t="s">
        <v>955</v>
      </c>
      <c r="I100" s="302" t="s">
        <v>955</v>
      </c>
      <c r="J100" s="284" t="s">
        <v>1042</v>
      </c>
      <c r="K100" s="284" t="s">
        <v>1042</v>
      </c>
      <c r="L100" s="303" t="s">
        <v>955</v>
      </c>
    </row>
    <row r="101" spans="1:12" ht="15.75" thickTop="1" x14ac:dyDescent="0.25">
      <c r="A101" s="517"/>
      <c r="B101" s="519"/>
      <c r="C101" s="521"/>
      <c r="D101" s="523"/>
      <c r="E101" s="304"/>
      <c r="F101" s="304"/>
      <c r="G101" s="304"/>
      <c r="H101" s="304"/>
      <c r="I101" s="304"/>
      <c r="J101" s="312"/>
      <c r="K101" s="315"/>
      <c r="L101" s="305"/>
    </row>
    <row r="102" spans="1:12" ht="26.25" thickBot="1" x14ac:dyDescent="0.3">
      <c r="A102" s="516" t="s">
        <v>891</v>
      </c>
      <c r="B102" s="518" t="s">
        <v>892</v>
      </c>
      <c r="C102" s="520">
        <f>'A-4_Planilha Básica de Orçament'!H223</f>
        <v>173774.93</v>
      </c>
      <c r="D102" s="522">
        <f>C102/C$121</f>
        <v>4.7999961307223185E-2</v>
      </c>
      <c r="E102" s="302" t="s">
        <v>955</v>
      </c>
      <c r="F102" s="302" t="s">
        <v>955</v>
      </c>
      <c r="G102" s="302" t="s">
        <v>955</v>
      </c>
      <c r="H102" s="284" t="s">
        <v>1043</v>
      </c>
      <c r="I102" s="284" t="s">
        <v>1044</v>
      </c>
      <c r="J102" s="284" t="s">
        <v>1044</v>
      </c>
      <c r="K102" s="284" t="s">
        <v>1044</v>
      </c>
      <c r="L102" s="309" t="s">
        <v>1045</v>
      </c>
    </row>
    <row r="103" spans="1:12" ht="15.75" thickTop="1" x14ac:dyDescent="0.25">
      <c r="A103" s="517"/>
      <c r="B103" s="519"/>
      <c r="C103" s="521"/>
      <c r="D103" s="523"/>
      <c r="E103" s="304"/>
      <c r="F103" s="304"/>
      <c r="G103" s="304"/>
      <c r="H103" s="312"/>
      <c r="I103" s="313"/>
      <c r="J103" s="313"/>
      <c r="K103" s="313"/>
      <c r="L103" s="314"/>
    </row>
    <row r="104" spans="1:12" ht="26.25" thickBot="1" x14ac:dyDescent="0.3">
      <c r="A104" s="516" t="s">
        <v>897</v>
      </c>
      <c r="B104" s="518" t="s">
        <v>898</v>
      </c>
      <c r="C104" s="520">
        <f>'A-4_Planilha Básica de Orçament'!H228</f>
        <v>52554.05</v>
      </c>
      <c r="D104" s="522">
        <f>C104/C$121</f>
        <v>1.451643437023898E-2</v>
      </c>
      <c r="E104" s="302" t="s">
        <v>955</v>
      </c>
      <c r="F104" s="302" t="s">
        <v>955</v>
      </c>
      <c r="G104" s="302" t="s">
        <v>955</v>
      </c>
      <c r="H104" s="302" t="s">
        <v>955</v>
      </c>
      <c r="I104" s="284" t="s">
        <v>1046</v>
      </c>
      <c r="J104" s="284" t="s">
        <v>1046</v>
      </c>
      <c r="K104" s="302" t="s">
        <v>955</v>
      </c>
      <c r="L104" s="303" t="s">
        <v>955</v>
      </c>
    </row>
    <row r="105" spans="1:12" ht="15.75" thickTop="1" x14ac:dyDescent="0.25">
      <c r="A105" s="517"/>
      <c r="B105" s="519"/>
      <c r="C105" s="521"/>
      <c r="D105" s="523"/>
      <c r="E105" s="304"/>
      <c r="F105" s="304"/>
      <c r="G105" s="304"/>
      <c r="H105" s="304"/>
      <c r="I105" s="312"/>
      <c r="J105" s="315"/>
      <c r="K105" s="304"/>
      <c r="L105" s="305"/>
    </row>
    <row r="106" spans="1:12" ht="26.25" thickBot="1" x14ac:dyDescent="0.3">
      <c r="A106" s="516" t="s">
        <v>903</v>
      </c>
      <c r="B106" s="518" t="s">
        <v>246</v>
      </c>
      <c r="C106" s="520">
        <f>'A-4_Planilha Básica de Orçament'!H233</f>
        <v>9965.5</v>
      </c>
      <c r="D106" s="522">
        <f>C106/C$121</f>
        <v>2.7526618161039262E-3</v>
      </c>
      <c r="E106" s="302" t="s">
        <v>955</v>
      </c>
      <c r="F106" s="302" t="s">
        <v>955</v>
      </c>
      <c r="G106" s="302" t="s">
        <v>955</v>
      </c>
      <c r="H106" s="302" t="s">
        <v>955</v>
      </c>
      <c r="I106" s="302" t="s">
        <v>955</v>
      </c>
      <c r="J106" s="284" t="s">
        <v>1047</v>
      </c>
      <c r="K106" s="302" t="s">
        <v>955</v>
      </c>
      <c r="L106" s="303" t="s">
        <v>955</v>
      </c>
    </row>
    <row r="107" spans="1:12" ht="15.75" thickTop="1" x14ac:dyDescent="0.25">
      <c r="A107" s="517"/>
      <c r="B107" s="519"/>
      <c r="C107" s="521"/>
      <c r="D107" s="523"/>
      <c r="E107" s="304"/>
      <c r="F107" s="304"/>
      <c r="G107" s="304"/>
      <c r="H107" s="304"/>
      <c r="I107" s="304"/>
      <c r="J107" s="301"/>
      <c r="K107" s="304"/>
      <c r="L107" s="305"/>
    </row>
    <row r="108" spans="1:12" ht="26.25" thickBot="1" x14ac:dyDescent="0.3">
      <c r="A108" s="516" t="s">
        <v>908</v>
      </c>
      <c r="B108" s="518" t="s">
        <v>451</v>
      </c>
      <c r="C108" s="520">
        <f>'A-4_Planilha Básica de Orçament'!H238</f>
        <v>66634.52</v>
      </c>
      <c r="D108" s="522">
        <f>C108/C$121</f>
        <v>1.8405729651137768E-2</v>
      </c>
      <c r="E108" s="302" t="s">
        <v>955</v>
      </c>
      <c r="F108" s="302" t="s">
        <v>955</v>
      </c>
      <c r="G108" s="302" t="s">
        <v>955</v>
      </c>
      <c r="H108" s="302" t="s">
        <v>955</v>
      </c>
      <c r="I108" s="302" t="s">
        <v>955</v>
      </c>
      <c r="J108" s="284" t="s">
        <v>1048</v>
      </c>
      <c r="K108" s="284" t="s">
        <v>1049</v>
      </c>
      <c r="L108" s="309" t="s">
        <v>1049</v>
      </c>
    </row>
    <row r="109" spans="1:12" ht="15.75" thickTop="1" x14ac:dyDescent="0.25">
      <c r="A109" s="517"/>
      <c r="B109" s="519"/>
      <c r="C109" s="521"/>
      <c r="D109" s="523"/>
      <c r="E109" s="304"/>
      <c r="F109" s="304"/>
      <c r="G109" s="304"/>
      <c r="H109" s="304"/>
      <c r="I109" s="304"/>
      <c r="J109" s="312"/>
      <c r="K109" s="313"/>
      <c r="L109" s="314"/>
    </row>
    <row r="110" spans="1:12" ht="26.25" thickBot="1" x14ac:dyDescent="0.3">
      <c r="A110" s="516" t="s">
        <v>913</v>
      </c>
      <c r="B110" s="518" t="s">
        <v>453</v>
      </c>
      <c r="C110" s="520">
        <f>'A-4_Planilha Básica de Orçament'!H243</f>
        <v>33591.599999999999</v>
      </c>
      <c r="D110" s="522">
        <f>C110/C$121</f>
        <v>9.2786427837877328E-3</v>
      </c>
      <c r="E110" s="302" t="s">
        <v>955</v>
      </c>
      <c r="F110" s="302" t="s">
        <v>955</v>
      </c>
      <c r="G110" s="302" t="s">
        <v>955</v>
      </c>
      <c r="H110" s="302" t="s">
        <v>955</v>
      </c>
      <c r="I110" s="302" t="s">
        <v>955</v>
      </c>
      <c r="J110" s="302" t="s">
        <v>955</v>
      </c>
      <c r="K110" s="284" t="s">
        <v>1050</v>
      </c>
      <c r="L110" s="303" t="s">
        <v>955</v>
      </c>
    </row>
    <row r="111" spans="1:12" ht="15.75" thickTop="1" x14ac:dyDescent="0.25">
      <c r="A111" s="517"/>
      <c r="B111" s="519"/>
      <c r="C111" s="521"/>
      <c r="D111" s="523"/>
      <c r="E111" s="304"/>
      <c r="F111" s="304"/>
      <c r="G111" s="304"/>
      <c r="H111" s="304"/>
      <c r="I111" s="304"/>
      <c r="J111" s="304"/>
      <c r="K111" s="301"/>
      <c r="L111" s="305"/>
    </row>
    <row r="112" spans="1:12" ht="26.25" thickBot="1" x14ac:dyDescent="0.3">
      <c r="A112" s="516" t="s">
        <v>918</v>
      </c>
      <c r="B112" s="518" t="s">
        <v>919</v>
      </c>
      <c r="C112" s="520">
        <f>'A-4_Planilha Básica de Orçament'!H248</f>
        <v>34464.9</v>
      </c>
      <c r="D112" s="522">
        <f>C112/C$121</f>
        <v>9.5198649566845834E-3</v>
      </c>
      <c r="E112" s="302" t="s">
        <v>955</v>
      </c>
      <c r="F112" s="302" t="s">
        <v>955</v>
      </c>
      <c r="G112" s="302" t="s">
        <v>955</v>
      </c>
      <c r="H112" s="302" t="s">
        <v>955</v>
      </c>
      <c r="I112" s="302" t="s">
        <v>955</v>
      </c>
      <c r="J112" s="302" t="s">
        <v>955</v>
      </c>
      <c r="K112" s="284" t="s">
        <v>1051</v>
      </c>
      <c r="L112" s="303" t="s">
        <v>955</v>
      </c>
    </row>
    <row r="113" spans="1:12" ht="15.75" thickTop="1" x14ac:dyDescent="0.25">
      <c r="A113" s="517"/>
      <c r="B113" s="519"/>
      <c r="C113" s="521"/>
      <c r="D113" s="523"/>
      <c r="E113" s="304"/>
      <c r="F113" s="304"/>
      <c r="G113" s="304"/>
      <c r="H113" s="304"/>
      <c r="I113" s="304"/>
      <c r="J113" s="304"/>
      <c r="K113" s="301"/>
      <c r="L113" s="305"/>
    </row>
    <row r="114" spans="1:12" x14ac:dyDescent="0.25">
      <c r="A114" s="196" t="s">
        <v>924</v>
      </c>
      <c r="B114" s="229" t="s">
        <v>925</v>
      </c>
      <c r="C114" s="227"/>
      <c r="D114" s="228"/>
      <c r="E114" s="307" t="s">
        <v>955</v>
      </c>
      <c r="F114" s="307" t="s">
        <v>955</v>
      </c>
      <c r="G114" s="307" t="s">
        <v>955</v>
      </c>
      <c r="H114" s="307" t="s">
        <v>955</v>
      </c>
      <c r="I114" s="307" t="s">
        <v>955</v>
      </c>
      <c r="J114" s="307" t="s">
        <v>955</v>
      </c>
      <c r="K114" s="307" t="s">
        <v>955</v>
      </c>
      <c r="L114" s="308" t="s">
        <v>955</v>
      </c>
    </row>
    <row r="115" spans="1:12" ht="26.25" thickBot="1" x14ac:dyDescent="0.3">
      <c r="A115" s="516" t="s">
        <v>926</v>
      </c>
      <c r="B115" s="518" t="s">
        <v>927</v>
      </c>
      <c r="C115" s="520">
        <f>'A-4_Planilha Básica de Orçament'!H254</f>
        <v>33591.599999999999</v>
      </c>
      <c r="D115" s="522">
        <f>C115/C$121</f>
        <v>9.2786427837877328E-3</v>
      </c>
      <c r="E115" s="302" t="s">
        <v>955</v>
      </c>
      <c r="F115" s="302" t="s">
        <v>955</v>
      </c>
      <c r="G115" s="302" t="s">
        <v>955</v>
      </c>
      <c r="H115" s="302" t="s">
        <v>955</v>
      </c>
      <c r="I115" s="302" t="s">
        <v>955</v>
      </c>
      <c r="J115" s="284" t="s">
        <v>1050</v>
      </c>
      <c r="K115" s="302" t="s">
        <v>955</v>
      </c>
      <c r="L115" s="303" t="s">
        <v>955</v>
      </c>
    </row>
    <row r="116" spans="1:12" ht="15.75" thickTop="1" x14ac:dyDescent="0.25">
      <c r="A116" s="517"/>
      <c r="B116" s="519"/>
      <c r="C116" s="521"/>
      <c r="D116" s="523"/>
      <c r="E116" s="304"/>
      <c r="F116" s="304"/>
      <c r="G116" s="304"/>
      <c r="H116" s="304"/>
      <c r="I116" s="304"/>
      <c r="J116" s="301"/>
      <c r="K116" s="304"/>
      <c r="L116" s="305"/>
    </row>
    <row r="117" spans="1:12" ht="26.25" thickBot="1" x14ac:dyDescent="0.3">
      <c r="A117" s="516" t="s">
        <v>932</v>
      </c>
      <c r="B117" s="518" t="s">
        <v>933</v>
      </c>
      <c r="C117" s="520">
        <f>'A-4_Planilha Básica de Orçament'!H259</f>
        <v>33591.599999999999</v>
      </c>
      <c r="D117" s="522">
        <f>C117/C$121</f>
        <v>9.2786427837877328E-3</v>
      </c>
      <c r="E117" s="302" t="s">
        <v>955</v>
      </c>
      <c r="F117" s="302" t="s">
        <v>955</v>
      </c>
      <c r="G117" s="302" t="s">
        <v>955</v>
      </c>
      <c r="H117" s="302" t="s">
        <v>955</v>
      </c>
      <c r="I117" s="302" t="s">
        <v>955</v>
      </c>
      <c r="J117" s="302" t="s">
        <v>955</v>
      </c>
      <c r="K117" s="284" t="s">
        <v>1050</v>
      </c>
      <c r="L117" s="303" t="s">
        <v>955</v>
      </c>
    </row>
    <row r="118" spans="1:12" ht="15.75" thickTop="1" x14ac:dyDescent="0.25">
      <c r="A118" s="517"/>
      <c r="B118" s="519"/>
      <c r="C118" s="521"/>
      <c r="D118" s="523"/>
      <c r="E118" s="304"/>
      <c r="F118" s="304"/>
      <c r="G118" s="304"/>
      <c r="H118" s="304"/>
      <c r="I118" s="304"/>
      <c r="J118" s="304"/>
      <c r="K118" s="301"/>
      <c r="L118" s="305"/>
    </row>
    <row r="119" spans="1:12" ht="26.25" thickBot="1" x14ac:dyDescent="0.3">
      <c r="A119" s="516" t="s">
        <v>938</v>
      </c>
      <c r="B119" s="518" t="s">
        <v>939</v>
      </c>
      <c r="C119" s="520">
        <f>'A-4_Planilha Básica de Orçament'!H264</f>
        <v>26296.61</v>
      </c>
      <c r="D119" s="522">
        <f>C119/C$121</f>
        <v>7.2636269369300765E-3</v>
      </c>
      <c r="E119" s="302" t="s">
        <v>955</v>
      </c>
      <c r="F119" s="302" t="s">
        <v>955</v>
      </c>
      <c r="G119" s="302" t="s">
        <v>955</v>
      </c>
      <c r="H119" s="302" t="s">
        <v>955</v>
      </c>
      <c r="I119" s="302" t="s">
        <v>955</v>
      </c>
      <c r="J119" s="302" t="s">
        <v>955</v>
      </c>
      <c r="K119" s="302" t="s">
        <v>955</v>
      </c>
      <c r="L119" s="309" t="s">
        <v>1052</v>
      </c>
    </row>
    <row r="120" spans="1:12" ht="16.5" thickTop="1" thickBot="1" x14ac:dyDescent="0.3">
      <c r="A120" s="517"/>
      <c r="B120" s="519"/>
      <c r="C120" s="521"/>
      <c r="D120" s="523"/>
      <c r="E120" s="310"/>
      <c r="F120" s="310"/>
      <c r="G120" s="310"/>
      <c r="H120" s="310"/>
      <c r="I120" s="310"/>
      <c r="J120" s="310"/>
      <c r="K120" s="310"/>
      <c r="L120" s="311"/>
    </row>
    <row r="121" spans="1:12" x14ac:dyDescent="0.25">
      <c r="A121" s="524" t="s">
        <v>959</v>
      </c>
      <c r="B121" s="524"/>
      <c r="C121" s="197">
        <f>SUM(C12:C119)</f>
        <v>3620313.9600000009</v>
      </c>
      <c r="D121" s="285">
        <f>SUM(D12:D119)</f>
        <v>0.99999999999999989</v>
      </c>
      <c r="E121" s="288" t="s">
        <v>1053</v>
      </c>
      <c r="F121" s="289" t="s">
        <v>1054</v>
      </c>
      <c r="G121" s="289" t="s">
        <v>1055</v>
      </c>
      <c r="H121" s="289" t="s">
        <v>1056</v>
      </c>
      <c r="I121" s="289" t="s">
        <v>1057</v>
      </c>
      <c r="J121" s="289" t="s">
        <v>1058</v>
      </c>
      <c r="K121" s="289" t="s">
        <v>1059</v>
      </c>
      <c r="L121" s="290" t="s">
        <v>1060</v>
      </c>
    </row>
    <row r="122" spans="1:12" x14ac:dyDescent="0.25">
      <c r="A122" s="524" t="s">
        <v>960</v>
      </c>
      <c r="B122" s="524"/>
      <c r="C122" s="209"/>
      <c r="D122" s="286"/>
      <c r="E122" s="297" t="s">
        <v>1061</v>
      </c>
      <c r="F122" s="208" t="s">
        <v>1062</v>
      </c>
      <c r="G122" s="208" t="s">
        <v>1063</v>
      </c>
      <c r="H122" s="208" t="s">
        <v>1064</v>
      </c>
      <c r="I122" s="208" t="s">
        <v>1065</v>
      </c>
      <c r="J122" s="208" t="s">
        <v>1066</v>
      </c>
      <c r="K122" s="208" t="s">
        <v>1067</v>
      </c>
      <c r="L122" s="298" t="s">
        <v>1068</v>
      </c>
    </row>
    <row r="123" spans="1:12" x14ac:dyDescent="0.25">
      <c r="A123" s="524" t="s">
        <v>961</v>
      </c>
      <c r="B123" s="524"/>
      <c r="C123" s="200"/>
      <c r="D123" s="287"/>
      <c r="E123" s="291" t="s">
        <v>1053</v>
      </c>
      <c r="F123" s="292" t="s">
        <v>1069</v>
      </c>
      <c r="G123" s="292" t="s">
        <v>1070</v>
      </c>
      <c r="H123" s="292" t="s">
        <v>1071</v>
      </c>
      <c r="I123" s="292" t="s">
        <v>1072</v>
      </c>
      <c r="J123" s="292" t="s">
        <v>956</v>
      </c>
      <c r="K123" s="292" t="s">
        <v>1073</v>
      </c>
      <c r="L123" s="293" t="s">
        <v>957</v>
      </c>
    </row>
    <row r="124" spans="1:12" ht="15.75" thickBot="1" x14ac:dyDescent="0.3">
      <c r="A124" s="524" t="s">
        <v>962</v>
      </c>
      <c r="B124" s="524"/>
      <c r="C124" s="209"/>
      <c r="D124" s="286"/>
      <c r="E124" s="294" t="s">
        <v>1074</v>
      </c>
      <c r="F124" s="295" t="s">
        <v>1075</v>
      </c>
      <c r="G124" s="295" t="s">
        <v>1076</v>
      </c>
      <c r="H124" s="295" t="s">
        <v>1077</v>
      </c>
      <c r="I124" s="295" t="s">
        <v>1078</v>
      </c>
      <c r="J124" s="295" t="s">
        <v>1079</v>
      </c>
      <c r="K124" s="295" t="s">
        <v>1080</v>
      </c>
      <c r="L124" s="296" t="s">
        <v>1081</v>
      </c>
    </row>
    <row r="125" spans="1:12" x14ac:dyDescent="0.25">
      <c r="A125" s="194"/>
      <c r="B125" s="189"/>
      <c r="C125" s="189"/>
      <c r="D125" s="189"/>
      <c r="E125" s="189"/>
      <c r="F125" s="189"/>
      <c r="G125" s="189"/>
      <c r="H125" s="189"/>
    </row>
    <row r="126" spans="1:12" x14ac:dyDescent="0.25">
      <c r="A126" s="202"/>
      <c r="B126" s="203"/>
      <c r="C126" s="203"/>
      <c r="D126" s="203"/>
      <c r="E126" s="203"/>
      <c r="F126" s="203"/>
      <c r="G126" s="188"/>
      <c r="H126" s="188"/>
    </row>
    <row r="127" spans="1:12" ht="15" customHeight="1" x14ac:dyDescent="0.25">
      <c r="A127" s="204"/>
      <c r="B127" s="393" t="s">
        <v>1104</v>
      </c>
      <c r="C127" s="205"/>
      <c r="D127" s="205"/>
      <c r="E127" s="205"/>
      <c r="F127" s="205"/>
      <c r="G127" s="201"/>
      <c r="H127" s="201"/>
    </row>
    <row r="128" spans="1:12" x14ac:dyDescent="0.25">
      <c r="A128" s="206"/>
      <c r="B128" s="207"/>
      <c r="C128" s="207"/>
      <c r="D128" s="207"/>
      <c r="E128" s="207"/>
      <c r="F128" s="207"/>
    </row>
    <row r="129" spans="1:12" ht="33" customHeight="1" x14ac:dyDescent="0.25">
      <c r="A129" s="206"/>
      <c r="B129" s="513" t="s">
        <v>1105</v>
      </c>
      <c r="C129" s="513"/>
      <c r="D129" s="513"/>
      <c r="E129" s="513"/>
      <c r="F129" s="513"/>
      <c r="G129" s="513"/>
      <c r="H129" s="513"/>
      <c r="I129" s="513"/>
      <c r="J129" s="513"/>
      <c r="K129" s="513"/>
    </row>
    <row r="130" spans="1:12" ht="30.75" customHeight="1" x14ac:dyDescent="0.25">
      <c r="A130" s="206"/>
      <c r="B130" s="513" t="s">
        <v>1111</v>
      </c>
      <c r="C130" s="513"/>
      <c r="D130" s="513"/>
      <c r="E130" s="513"/>
      <c r="F130" s="513"/>
      <c r="G130" s="513"/>
      <c r="H130" s="513"/>
      <c r="I130" s="513"/>
      <c r="J130" s="513"/>
      <c r="K130" s="513"/>
    </row>
    <row r="131" spans="1:12" x14ac:dyDescent="0.25">
      <c r="A131" s="206"/>
      <c r="B131" s="207"/>
      <c r="C131" s="207"/>
      <c r="D131" s="207"/>
      <c r="E131" s="207"/>
      <c r="F131" s="207"/>
    </row>
    <row r="132" spans="1:12" s="230" customFormat="1" x14ac:dyDescent="0.25">
      <c r="A132" s="394"/>
      <c r="B132" s="395" t="s">
        <v>1112</v>
      </c>
      <c r="C132" s="395"/>
      <c r="D132" s="395"/>
      <c r="E132" s="395"/>
      <c r="F132" s="395"/>
      <c r="G132" s="396"/>
      <c r="H132" s="396"/>
      <c r="I132" s="396"/>
      <c r="J132" s="396"/>
      <c r="K132" s="396"/>
      <c r="L132" s="396"/>
    </row>
    <row r="133" spans="1:12" s="230" customFormat="1" x14ac:dyDescent="0.25">
      <c r="A133" s="206"/>
      <c r="B133" s="388" t="s">
        <v>1113</v>
      </c>
    </row>
    <row r="134" spans="1:12" s="230" customFormat="1" x14ac:dyDescent="0.25">
      <c r="A134" s="206"/>
      <c r="B134" s="389" t="s">
        <v>1114</v>
      </c>
      <c r="E134" s="392" t="s">
        <v>1132</v>
      </c>
    </row>
    <row r="135" spans="1:12" s="230" customFormat="1" x14ac:dyDescent="0.25">
      <c r="A135" s="206"/>
      <c r="B135" s="390" t="s">
        <v>1115</v>
      </c>
    </row>
    <row r="136" spans="1:12" s="230" customFormat="1" x14ac:dyDescent="0.25">
      <c r="A136" s="206"/>
      <c r="B136" s="387" t="s">
        <v>1116</v>
      </c>
      <c r="E136" s="391" t="s">
        <v>1133</v>
      </c>
    </row>
    <row r="137" spans="1:12" s="230" customFormat="1" x14ac:dyDescent="0.25">
      <c r="A137" s="206"/>
      <c r="B137" s="387" t="s">
        <v>1117</v>
      </c>
      <c r="E137" s="391" t="s">
        <v>1134</v>
      </c>
    </row>
    <row r="138" spans="1:12" s="230" customFormat="1" x14ac:dyDescent="0.25">
      <c r="A138" s="206"/>
      <c r="B138" s="387" t="s">
        <v>1118</v>
      </c>
    </row>
    <row r="139" spans="1:12" s="230" customFormat="1" ht="17.25" x14ac:dyDescent="0.25">
      <c r="A139" s="206"/>
      <c r="B139" s="387" t="s">
        <v>1125</v>
      </c>
    </row>
    <row r="140" spans="1:12" ht="17.25" x14ac:dyDescent="0.25">
      <c r="A140" s="206"/>
      <c r="B140" s="397" t="s">
        <v>1135</v>
      </c>
    </row>
    <row r="141" spans="1:12" x14ac:dyDescent="0.25">
      <c r="B141" s="387" t="s">
        <v>1126</v>
      </c>
    </row>
    <row r="143" spans="1:12" s="230" customFormat="1" x14ac:dyDescent="0.25">
      <c r="A143" s="195"/>
      <c r="B143" s="388" t="s">
        <v>1113</v>
      </c>
    </row>
    <row r="144" spans="1:12" s="230" customFormat="1" x14ac:dyDescent="0.25">
      <c r="A144" s="195"/>
      <c r="B144" s="389" t="s">
        <v>1127</v>
      </c>
    </row>
    <row r="145" spans="1:10" s="230" customFormat="1" x14ac:dyDescent="0.25">
      <c r="A145" s="195"/>
      <c r="B145" s="390" t="s">
        <v>1128</v>
      </c>
    </row>
    <row r="146" spans="1:10" s="230" customFormat="1" x14ac:dyDescent="0.25">
      <c r="A146" s="195"/>
      <c r="B146" s="387" t="s">
        <v>1116</v>
      </c>
    </row>
    <row r="147" spans="1:10" s="230" customFormat="1" x14ac:dyDescent="0.25">
      <c r="A147" s="195"/>
      <c r="B147" s="387" t="s">
        <v>1129</v>
      </c>
    </row>
    <row r="148" spans="1:10" s="230" customFormat="1" x14ac:dyDescent="0.25">
      <c r="A148" s="195"/>
      <c r="B148" s="387" t="s">
        <v>1130</v>
      </c>
    </row>
    <row r="149" spans="1:10" s="230" customFormat="1" ht="17.25" x14ac:dyDescent="0.25">
      <c r="A149" s="195"/>
      <c r="B149" s="387" t="s">
        <v>1131</v>
      </c>
    </row>
    <row r="150" spans="1:10" s="230" customFormat="1" ht="17.25" x14ac:dyDescent="0.25">
      <c r="A150" s="195"/>
      <c r="B150" s="397" t="s">
        <v>1135</v>
      </c>
    </row>
    <row r="151" spans="1:10" s="230" customFormat="1" x14ac:dyDescent="0.25">
      <c r="A151" s="195"/>
      <c r="B151" s="387" t="s">
        <v>1126</v>
      </c>
    </row>
    <row r="152" spans="1:10" s="230" customFormat="1" x14ac:dyDescent="0.25">
      <c r="A152" s="195"/>
    </row>
    <row r="154" spans="1:10" hidden="1" x14ac:dyDescent="0.25">
      <c r="F154" s="187" t="s">
        <v>1119</v>
      </c>
    </row>
    <row r="155" spans="1:10" hidden="1" x14ac:dyDescent="0.25">
      <c r="C155" s="384" t="s">
        <v>1109</v>
      </c>
      <c r="D155" s="207" t="s">
        <v>33</v>
      </c>
      <c r="E155" s="385">
        <f>'A-7_Itens de Relevância'!I5</f>
        <v>12035.480000000001</v>
      </c>
      <c r="F155" s="207" t="s">
        <v>1120</v>
      </c>
      <c r="G155" s="387" t="s">
        <v>1121</v>
      </c>
      <c r="H155" s="387" t="s">
        <v>1122</v>
      </c>
      <c r="I155" s="387" t="s">
        <v>1123</v>
      </c>
      <c r="J155" s="387" t="s">
        <v>1124</v>
      </c>
    </row>
    <row r="156" spans="1:10" hidden="1" x14ac:dyDescent="0.25">
      <c r="C156" s="230" t="s">
        <v>1106</v>
      </c>
      <c r="D156" s="230" t="s">
        <v>1108</v>
      </c>
      <c r="E156" s="207">
        <v>0.39400000000000002</v>
      </c>
      <c r="F156" s="385">
        <f>E156*E155</f>
        <v>4741.9791200000009</v>
      </c>
      <c r="G156" s="386">
        <f>F156/8</f>
        <v>592.74739000000011</v>
      </c>
      <c r="H156" s="386">
        <f>G156/22</f>
        <v>26.943063181818186</v>
      </c>
      <c r="I156" s="386">
        <f>H156/8</f>
        <v>3.3678828977272732</v>
      </c>
      <c r="J156" s="386">
        <f>I156/6</f>
        <v>0.56131381628787891</v>
      </c>
    </row>
    <row r="157" spans="1:10" hidden="1" x14ac:dyDescent="0.25">
      <c r="C157" s="230" t="s">
        <v>1107</v>
      </c>
      <c r="D157" s="230" t="s">
        <v>1108</v>
      </c>
      <c r="E157" s="207">
        <v>0.39400000000000002</v>
      </c>
      <c r="F157" s="385">
        <f>E157*E155</f>
        <v>4741.9791200000009</v>
      </c>
      <c r="G157" s="386">
        <f>F157/8</f>
        <v>592.74739000000011</v>
      </c>
      <c r="H157" s="386">
        <f>G157/22</f>
        <v>26.943063181818186</v>
      </c>
      <c r="I157" s="386">
        <f>H157/8</f>
        <v>3.3678828977272732</v>
      </c>
      <c r="J157" s="386">
        <f>I157/6</f>
        <v>0.56131381628787891</v>
      </c>
    </row>
    <row r="158" spans="1:10" hidden="1" x14ac:dyDescent="0.25">
      <c r="C158" s="384"/>
      <c r="D158" s="207"/>
      <c r="E158" s="385"/>
      <c r="F158" s="207"/>
      <c r="G158" s="230"/>
      <c r="H158" s="230"/>
      <c r="I158" s="230"/>
      <c r="J158" s="230"/>
    </row>
    <row r="159" spans="1:10" hidden="1" x14ac:dyDescent="0.25">
      <c r="C159" s="384"/>
      <c r="D159" s="207"/>
      <c r="E159" s="385"/>
      <c r="F159" s="207"/>
      <c r="G159" s="230"/>
      <c r="H159" s="230"/>
      <c r="I159" s="230"/>
      <c r="J159" s="230"/>
    </row>
    <row r="160" spans="1:10" ht="30" hidden="1" x14ac:dyDescent="0.25">
      <c r="C160" s="384" t="s">
        <v>1110</v>
      </c>
      <c r="D160" s="207" t="s">
        <v>27</v>
      </c>
      <c r="E160" s="385">
        <f>'A-7_Itens de Relevância'!I6</f>
        <v>38258.49</v>
      </c>
      <c r="F160" s="207"/>
      <c r="G160" s="230"/>
      <c r="H160" s="230"/>
      <c r="I160" s="230"/>
      <c r="J160" s="230"/>
    </row>
    <row r="161" spans="3:10" hidden="1" x14ac:dyDescent="0.25">
      <c r="C161" s="187" t="s">
        <v>1106</v>
      </c>
      <c r="D161" s="187" t="s">
        <v>1108</v>
      </c>
      <c r="E161" s="207">
        <v>0.40210000000000001</v>
      </c>
      <c r="F161" s="385">
        <f>E161*E160</f>
        <v>15383.738829</v>
      </c>
      <c r="G161" s="386">
        <f>F161/8</f>
        <v>1922.967353625</v>
      </c>
      <c r="H161" s="386">
        <f>G161/22</f>
        <v>87.407606982954547</v>
      </c>
      <c r="I161" s="386">
        <f>H161/8</f>
        <v>10.925950872869318</v>
      </c>
      <c r="J161" s="386">
        <f>I161/6</f>
        <v>1.8209918121448865</v>
      </c>
    </row>
    <row r="162" spans="3:10" hidden="1" x14ac:dyDescent="0.25">
      <c r="C162" s="187" t="s">
        <v>1107</v>
      </c>
      <c r="D162" s="187" t="s">
        <v>1108</v>
      </c>
      <c r="E162" s="207">
        <v>0.40210000000000001</v>
      </c>
      <c r="F162" s="385">
        <f>E162*E160</f>
        <v>15383.738829</v>
      </c>
      <c r="G162" s="386">
        <f>F162/8</f>
        <v>1922.967353625</v>
      </c>
      <c r="H162" s="386">
        <f>G162/22</f>
        <v>87.407606982954547</v>
      </c>
      <c r="I162" s="386">
        <f>H162/8</f>
        <v>10.925950872869318</v>
      </c>
      <c r="J162" s="386">
        <f>I162/6</f>
        <v>1.8209918121448865</v>
      </c>
    </row>
  </sheetData>
  <mergeCells count="215">
    <mergeCell ref="B12:B13"/>
    <mergeCell ref="C12:C13"/>
    <mergeCell ref="D12:D13"/>
    <mergeCell ref="A12:A13"/>
    <mergeCell ref="A14:A15"/>
    <mergeCell ref="B14:B15"/>
    <mergeCell ref="E8:F8"/>
    <mergeCell ref="G9:H9"/>
    <mergeCell ref="A121:B121"/>
    <mergeCell ref="C14:C15"/>
    <mergeCell ref="D14:D15"/>
    <mergeCell ref="A18:A19"/>
    <mergeCell ref="B18:B19"/>
    <mergeCell ref="C18:C19"/>
    <mergeCell ref="D18:D19"/>
    <mergeCell ref="A20:A21"/>
    <mergeCell ref="B20:B21"/>
    <mergeCell ref="C20:C21"/>
    <mergeCell ref="D20:D21"/>
    <mergeCell ref="A22:A23"/>
    <mergeCell ref="B22:B23"/>
    <mergeCell ref="C22:C23"/>
    <mergeCell ref="D22:D23"/>
    <mergeCell ref="A24:A25"/>
    <mergeCell ref="A122:B122"/>
    <mergeCell ref="A123:B123"/>
    <mergeCell ref="A124:B124"/>
    <mergeCell ref="A26:A27"/>
    <mergeCell ref="B26:B27"/>
    <mergeCell ref="C26:C27"/>
    <mergeCell ref="D26:D27"/>
    <mergeCell ref="A28:A29"/>
    <mergeCell ref="B28:B29"/>
    <mergeCell ref="C28:C29"/>
    <mergeCell ref="D28:D29"/>
    <mergeCell ref="A45:A46"/>
    <mergeCell ref="B45:B46"/>
    <mergeCell ref="C45:C46"/>
    <mergeCell ref="D45:D46"/>
    <mergeCell ref="A47:A48"/>
    <mergeCell ref="B47:B48"/>
    <mergeCell ref="C47:C48"/>
    <mergeCell ref="D47:D48"/>
    <mergeCell ref="A40:A41"/>
    <mergeCell ref="B40:B41"/>
    <mergeCell ref="C40:C41"/>
    <mergeCell ref="D40:D41"/>
    <mergeCell ref="A42:A43"/>
    <mergeCell ref="B51:B52"/>
    <mergeCell ref="C51:C52"/>
    <mergeCell ref="D51:D52"/>
    <mergeCell ref="B24:B25"/>
    <mergeCell ref="C24:C25"/>
    <mergeCell ref="D24:D25"/>
    <mergeCell ref="A35:A36"/>
    <mergeCell ref="B35:B36"/>
    <mergeCell ref="C35:C36"/>
    <mergeCell ref="D35:D36"/>
    <mergeCell ref="A38:A39"/>
    <mergeCell ref="B38:B39"/>
    <mergeCell ref="C38:C39"/>
    <mergeCell ref="D38:D39"/>
    <mergeCell ref="A30:A31"/>
    <mergeCell ref="B30:B31"/>
    <mergeCell ref="C30:C31"/>
    <mergeCell ref="D30:D31"/>
    <mergeCell ref="A32:A33"/>
    <mergeCell ref="B32:B33"/>
    <mergeCell ref="C32:C33"/>
    <mergeCell ref="D32:D33"/>
    <mergeCell ref="A58:A59"/>
    <mergeCell ref="B58:B59"/>
    <mergeCell ref="C58:C59"/>
    <mergeCell ref="D58:D59"/>
    <mergeCell ref="A60:A61"/>
    <mergeCell ref="B60:B61"/>
    <mergeCell ref="C60:C61"/>
    <mergeCell ref="D60:D61"/>
    <mergeCell ref="B42:B43"/>
    <mergeCell ref="C42:C43"/>
    <mergeCell ref="D42:D43"/>
    <mergeCell ref="A54:A55"/>
    <mergeCell ref="B54:B55"/>
    <mergeCell ref="C54:C55"/>
    <mergeCell ref="D54:D55"/>
    <mergeCell ref="A56:A57"/>
    <mergeCell ref="B56:B57"/>
    <mergeCell ref="C56:C57"/>
    <mergeCell ref="D56:D57"/>
    <mergeCell ref="A49:A50"/>
    <mergeCell ref="B49:B50"/>
    <mergeCell ref="C49:C50"/>
    <mergeCell ref="D49:D50"/>
    <mergeCell ref="A51:A52"/>
    <mergeCell ref="A66:A67"/>
    <mergeCell ref="B66:B67"/>
    <mergeCell ref="C66:C67"/>
    <mergeCell ref="D66:D67"/>
    <mergeCell ref="A68:A69"/>
    <mergeCell ref="B68:B69"/>
    <mergeCell ref="C68:C69"/>
    <mergeCell ref="D68:D69"/>
    <mergeCell ref="A62:A63"/>
    <mergeCell ref="B62:B63"/>
    <mergeCell ref="C62:C63"/>
    <mergeCell ref="D62:D63"/>
    <mergeCell ref="A64:A65"/>
    <mergeCell ref="B64:B65"/>
    <mergeCell ref="C64:C65"/>
    <mergeCell ref="D64:D65"/>
    <mergeCell ref="A75:A76"/>
    <mergeCell ref="B75:B76"/>
    <mergeCell ref="C75:C76"/>
    <mergeCell ref="D75:D76"/>
    <mergeCell ref="A77:A78"/>
    <mergeCell ref="B77:B78"/>
    <mergeCell ref="C77:C78"/>
    <mergeCell ref="D77:D78"/>
    <mergeCell ref="A70:A71"/>
    <mergeCell ref="B70:B71"/>
    <mergeCell ref="C70:C71"/>
    <mergeCell ref="D70:D71"/>
    <mergeCell ref="A72:A73"/>
    <mergeCell ref="B72:B73"/>
    <mergeCell ref="C72:C73"/>
    <mergeCell ref="D72:D73"/>
    <mergeCell ref="A83:A84"/>
    <mergeCell ref="B83:B84"/>
    <mergeCell ref="C83:C84"/>
    <mergeCell ref="D83:D84"/>
    <mergeCell ref="A85:A86"/>
    <mergeCell ref="B85:B86"/>
    <mergeCell ref="C85:C86"/>
    <mergeCell ref="D85:D86"/>
    <mergeCell ref="A79:A80"/>
    <mergeCell ref="B79:B80"/>
    <mergeCell ref="C79:C80"/>
    <mergeCell ref="D79:D80"/>
    <mergeCell ref="A81:A82"/>
    <mergeCell ref="B81:B82"/>
    <mergeCell ref="C81:C82"/>
    <mergeCell ref="D81:D82"/>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100:A101"/>
    <mergeCell ref="B100:B101"/>
    <mergeCell ref="C100:C101"/>
    <mergeCell ref="D100:D101"/>
    <mergeCell ref="A102:A103"/>
    <mergeCell ref="B102:B103"/>
    <mergeCell ref="C102:C103"/>
    <mergeCell ref="D102:D103"/>
    <mergeCell ref="A96:A97"/>
    <mergeCell ref="B96:B97"/>
    <mergeCell ref="C96:C97"/>
    <mergeCell ref="D96:D97"/>
    <mergeCell ref="A98:A99"/>
    <mergeCell ref="B98:B99"/>
    <mergeCell ref="C98:C99"/>
    <mergeCell ref="D98:D99"/>
    <mergeCell ref="D104:D105"/>
    <mergeCell ref="A106:A107"/>
    <mergeCell ref="A119:A120"/>
    <mergeCell ref="B119:B120"/>
    <mergeCell ref="C119:C120"/>
    <mergeCell ref="D119:D120"/>
    <mergeCell ref="A112:A113"/>
    <mergeCell ref="B112:B113"/>
    <mergeCell ref="C112:C113"/>
    <mergeCell ref="D112:D113"/>
    <mergeCell ref="A115:A116"/>
    <mergeCell ref="B115:B116"/>
    <mergeCell ref="C115:C116"/>
    <mergeCell ref="D115:D116"/>
    <mergeCell ref="B106:B107"/>
    <mergeCell ref="C106:C107"/>
    <mergeCell ref="D106:D107"/>
    <mergeCell ref="B129:K129"/>
    <mergeCell ref="B130:K130"/>
    <mergeCell ref="E10:L10"/>
    <mergeCell ref="D10:D11"/>
    <mergeCell ref="C10:C11"/>
    <mergeCell ref="B10:B11"/>
    <mergeCell ref="A10:A11"/>
    <mergeCell ref="A2:L2"/>
    <mergeCell ref="E7:F7"/>
    <mergeCell ref="A117:A118"/>
    <mergeCell ref="B117:B118"/>
    <mergeCell ref="C117:C118"/>
    <mergeCell ref="D117:D118"/>
    <mergeCell ref="A108:A109"/>
    <mergeCell ref="B108:B109"/>
    <mergeCell ref="C108:C109"/>
    <mergeCell ref="D108:D109"/>
    <mergeCell ref="A110:A111"/>
    <mergeCell ref="B110:B111"/>
    <mergeCell ref="C110:C111"/>
    <mergeCell ref="D110:D111"/>
    <mergeCell ref="A104:A105"/>
    <mergeCell ref="B104:B105"/>
    <mergeCell ref="C104:C105"/>
  </mergeCells>
  <printOptions horizontalCentered="1"/>
  <pageMargins left="0.51181102362204722" right="0.51181102362204722" top="0.98425196850393704" bottom="0.78740157480314965" header="0.19685039370078741" footer="0.19685039370078741"/>
  <pageSetup paperSize="9" scale="60" orientation="landscape" verticalDpi="0" r:id="rId1"/>
  <headerFooter>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C839B-B154-4F5F-BB49-54FEB384D62F}">
  <dimension ref="A2:J11"/>
  <sheetViews>
    <sheetView workbookViewId="0">
      <selection activeCell="N7" sqref="N7"/>
    </sheetView>
  </sheetViews>
  <sheetFormatPr defaultRowHeight="15" x14ac:dyDescent="0.25"/>
  <cols>
    <col min="1" max="16384" width="9.140625" style="191"/>
  </cols>
  <sheetData>
    <row r="2" spans="1:10" ht="20.25" x14ac:dyDescent="0.25">
      <c r="A2" s="539" t="s">
        <v>1084</v>
      </c>
      <c r="B2" s="539"/>
      <c r="C2" s="539"/>
      <c r="D2" s="539"/>
      <c r="E2" s="539"/>
      <c r="F2" s="539"/>
      <c r="G2" s="539"/>
      <c r="H2" s="539"/>
      <c r="I2" s="539"/>
      <c r="J2" s="539"/>
    </row>
    <row r="3" spans="1:10" x14ac:dyDescent="0.25">
      <c r="A3" s="316"/>
      <c r="B3" s="316"/>
      <c r="C3" s="316"/>
      <c r="D3" s="316"/>
      <c r="E3" s="316"/>
      <c r="F3" s="316"/>
      <c r="G3" s="316"/>
    </row>
    <row r="4" spans="1:10" x14ac:dyDescent="0.25">
      <c r="A4" s="3" t="s">
        <v>1</v>
      </c>
      <c r="B4" s="3"/>
      <c r="C4" s="4"/>
      <c r="D4" s="5"/>
      <c r="E4" s="6"/>
      <c r="F4" s="6"/>
      <c r="G4" s="6"/>
    </row>
    <row r="5" spans="1:10" x14ac:dyDescent="0.25">
      <c r="A5" s="3" t="s">
        <v>2</v>
      </c>
      <c r="B5" s="3"/>
      <c r="C5" s="3"/>
      <c r="D5" s="7"/>
      <c r="E5" s="8"/>
      <c r="F5" s="10"/>
      <c r="G5" s="8"/>
    </row>
    <row r="6" spans="1:10" x14ac:dyDescent="0.25">
      <c r="A6" s="3" t="s">
        <v>496</v>
      </c>
      <c r="B6" s="3"/>
      <c r="C6" s="4"/>
      <c r="D6" s="7"/>
      <c r="E6" s="8"/>
      <c r="F6" s="317"/>
      <c r="G6" s="8"/>
    </row>
    <row r="7" spans="1:10" x14ac:dyDescent="0.25">
      <c r="A7" s="3" t="s">
        <v>497</v>
      </c>
      <c r="B7" s="3"/>
      <c r="C7" s="4"/>
      <c r="D7" s="7"/>
      <c r="E7" s="8"/>
      <c r="F7" s="10"/>
      <c r="G7" s="2"/>
    </row>
    <row r="8" spans="1:10" x14ac:dyDescent="0.25">
      <c r="A8" s="10" t="s">
        <v>498</v>
      </c>
      <c r="B8" s="3"/>
      <c r="C8" s="4"/>
      <c r="D8" s="7"/>
      <c r="E8" s="8"/>
      <c r="F8" s="8"/>
      <c r="G8" s="2"/>
    </row>
    <row r="9" spans="1:10" x14ac:dyDescent="0.25">
      <c r="A9" s="10" t="s">
        <v>543</v>
      </c>
      <c r="B9" s="8"/>
      <c r="C9" s="8"/>
      <c r="D9" s="8"/>
      <c r="E9" s="8"/>
      <c r="F9" s="8"/>
      <c r="G9" s="8"/>
    </row>
    <row r="10" spans="1:10" x14ac:dyDescent="0.25">
      <c r="A10" s="10" t="s">
        <v>1083</v>
      </c>
      <c r="B10" s="8"/>
      <c r="C10" s="10"/>
      <c r="D10" s="8"/>
      <c r="E10" s="8"/>
      <c r="F10" s="8"/>
      <c r="G10" s="8"/>
    </row>
    <row r="11" spans="1:10" x14ac:dyDescent="0.25">
      <c r="A11" s="10" t="s">
        <v>544</v>
      </c>
      <c r="B11" s="2"/>
      <c r="C11" s="8"/>
      <c r="D11" s="10"/>
      <c r="E11" s="8"/>
      <c r="F11" s="8"/>
      <c r="G11" s="8"/>
    </row>
  </sheetData>
  <mergeCells count="1">
    <mergeCell ref="A2:J2"/>
  </mergeCells>
  <printOptions horizontalCentered="1"/>
  <pageMargins left="0.51181102362204722" right="0.51181102362204722" top="0.98425196850393704" bottom="0.78740157480314965" header="0.19685039370078741" footer="0.19685039370078741"/>
  <pageSetup paperSize="9" scale="95" orientation="portrait" verticalDpi="0" r:id="rId1"/>
  <headerFooter>
    <oddHeader>&amp;L&amp;G&amp;R&amp;G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FEAE-4C15-4105-9A90-2AC7DBDD6231}">
  <sheetPr>
    <pageSetUpPr fitToPage="1"/>
  </sheetPr>
  <dimension ref="A1:N33"/>
  <sheetViews>
    <sheetView tabSelected="1" workbookViewId="0">
      <selection activeCell="I7" sqref="I7"/>
    </sheetView>
  </sheetViews>
  <sheetFormatPr defaultColWidth="9.140625" defaultRowHeight="12" x14ac:dyDescent="0.2"/>
  <cols>
    <col min="1" max="1" width="7.42578125" style="318" customWidth="1"/>
    <col min="2" max="2" width="52.140625" style="318" customWidth="1"/>
    <col min="3" max="3" width="7.5703125" style="318" customWidth="1"/>
    <col min="4" max="4" width="9.7109375" style="318" bestFit="1" customWidth="1"/>
    <col min="5" max="5" width="15.140625" style="318" customWidth="1"/>
    <col min="6" max="6" width="13.5703125" style="318" bestFit="1" customWidth="1"/>
    <col min="7" max="7" width="11.28515625" style="318" customWidth="1"/>
    <col min="8" max="8" width="12.5703125" style="318" customWidth="1"/>
    <col min="9" max="9" width="10.28515625" style="318" customWidth="1"/>
    <col min="10" max="10" width="13.7109375" style="318" customWidth="1"/>
    <col min="11" max="12" width="15.140625" style="318" customWidth="1"/>
    <col min="13" max="16384" width="9.140625" style="318"/>
  </cols>
  <sheetData>
    <row r="1" spans="1:14" x14ac:dyDescent="0.2">
      <c r="B1" s="319"/>
      <c r="C1" s="319"/>
      <c r="D1" s="319"/>
      <c r="E1" s="319"/>
      <c r="F1" s="319"/>
      <c r="G1" s="319"/>
    </row>
    <row r="2" spans="1:14" ht="20.25" x14ac:dyDescent="0.2">
      <c r="A2" s="544" t="s">
        <v>1085</v>
      </c>
      <c r="B2" s="544"/>
      <c r="C2" s="544"/>
      <c r="D2" s="544"/>
      <c r="E2" s="544"/>
      <c r="F2" s="544"/>
      <c r="G2" s="544"/>
      <c r="I2" s="377"/>
      <c r="J2" s="377"/>
      <c r="K2" s="377"/>
      <c r="L2" s="377"/>
      <c r="M2" s="377"/>
    </row>
    <row r="3" spans="1:14" x14ac:dyDescent="0.2">
      <c r="A3" s="316"/>
      <c r="B3" s="316"/>
      <c r="C3" s="316"/>
      <c r="D3" s="316"/>
      <c r="E3" s="316"/>
      <c r="F3" s="316"/>
      <c r="G3" s="316"/>
      <c r="I3" s="377"/>
      <c r="J3" s="377"/>
      <c r="K3" s="377"/>
      <c r="L3" s="377"/>
      <c r="M3" s="377"/>
    </row>
    <row r="4" spans="1:14" ht="12.75" x14ac:dyDescent="0.2">
      <c r="A4" s="362" t="s">
        <v>1097</v>
      </c>
      <c r="B4" s="362"/>
      <c r="C4" s="190" t="s">
        <v>620</v>
      </c>
      <c r="D4" s="363"/>
      <c r="E4" s="364"/>
      <c r="F4" s="364"/>
      <c r="G4" s="365"/>
      <c r="H4" s="365"/>
      <c r="I4" s="377"/>
      <c r="J4" s="377"/>
      <c r="K4" s="377"/>
      <c r="L4" s="377"/>
      <c r="M4" s="377"/>
    </row>
    <row r="5" spans="1:14" ht="12.75" x14ac:dyDescent="0.2">
      <c r="A5" s="362" t="s">
        <v>1098</v>
      </c>
      <c r="B5" s="362"/>
      <c r="C5" s="362"/>
      <c r="D5" s="366"/>
      <c r="E5" s="367" t="s">
        <v>1099</v>
      </c>
      <c r="F5" s="368"/>
      <c r="G5" s="365"/>
      <c r="H5" s="365"/>
      <c r="I5" s="377">
        <f>SUM('A-4_Planilha Básica de Orçament'!F19,'A-4_Planilha Básica de Orçament'!F24,'A-4_Planilha Básica de Orçament'!F29,'A-4_Planilha Básica de Orçament'!F34,'A-4_Planilha Básica de Orçament'!F39,'A-4_Planilha Básica de Orçament'!F44,'A-4_Planilha Básica de Orçament'!F49,'A-4_Planilha Básica de Orçament'!F54,'A-4_Planilha Básica de Orçament'!F60,'A-4_Planilha Básica de Orçament'!F66,'A-4_Planilha Básica de Orçament'!F76,'A-4_Planilha Básica de Orçament'!F81,'A-4_Planilha Básica de Orçament'!F87,'A-4_Planilha Básica de Orçament'!F92,'A-4_Planilha Básica de Orçament'!F97,'A-4_Planilha Básica de Orçament'!F102,'A-4_Planilha Básica de Orçament'!F108,'A-4_Planilha Básica de Orçament'!F113,'A-4_Planilha Básica de Orçament'!F118,'A-4_Planilha Básica de Orçament'!F123,'A-4_Planilha Básica de Orçament'!F128,'A-4_Planilha Básica de Orçament'!F133,'A-4_Planilha Básica de Orçament'!F138,'A-4_Planilha Básica de Orçament'!F143,'A-4_Planilha Básica de Orçament'!F148,'A-4_Planilha Básica de Orçament'!F153,'A-4_Planilha Básica de Orçament'!F159,'A-4_Planilha Básica de Orçament'!F164,'A-4_Planilha Básica de Orçament'!F169,'A-4_Planilha Básica de Orçament'!F174,'A-4_Planilha Básica de Orçament'!F179,'A-4_Planilha Básica de Orçament'!F184,'A-4_Planilha Básica de Orçament'!F190,'A-4_Planilha Básica de Orçament'!F195,'A-4_Planilha Básica de Orçament'!F200,'A-4_Planilha Básica de Orçament'!F205,'A-4_Planilha Básica de Orçament'!F210,'A-4_Planilha Básica de Orçament'!F215,'A-4_Planilha Básica de Orçament'!F220,'A-4_Planilha Básica de Orçament'!F225,'A-4_Planilha Básica de Orçament'!F230,'A-4_Planilha Básica de Orçament'!F235,'A-4_Planilha Básica de Orçament'!F240,'A-4_Planilha Básica de Orçament'!F245,'A-4_Planilha Básica de Orçament'!F250,'A-4_Planilha Básica de Orçament'!F256,'A-4_Planilha Básica de Orçament'!F261,'A-4_Planilha Básica de Orçament'!F266)</f>
        <v>12035.480000000001</v>
      </c>
      <c r="J5" s="377" t="s">
        <v>1101</v>
      </c>
      <c r="K5" s="377">
        <f>'A-4_Planilha Básica de Orçament'!L11</f>
        <v>12035.480000000001</v>
      </c>
      <c r="L5" s="377"/>
    </row>
    <row r="6" spans="1:14" ht="12.75" x14ac:dyDescent="0.2">
      <c r="A6" s="362" t="s">
        <v>1100</v>
      </c>
      <c r="B6" s="362"/>
      <c r="C6" s="369"/>
      <c r="D6" s="366"/>
      <c r="E6" s="370"/>
      <c r="F6" s="371"/>
      <c r="G6" s="365"/>
      <c r="H6" s="365"/>
      <c r="I6" s="377">
        <f>'A-4_Planilha Básica de Orçament'!L12</f>
        <v>38258.49</v>
      </c>
      <c r="J6" s="377" t="s">
        <v>1102</v>
      </c>
      <c r="K6" s="377">
        <f>'A-4_Planilha Básica de Orçament'!L12</f>
        <v>38258.49</v>
      </c>
      <c r="L6" s="377"/>
    </row>
    <row r="7" spans="1:14" ht="12.75" customHeight="1" x14ac:dyDescent="0.2">
      <c r="A7" s="362" t="s">
        <v>969</v>
      </c>
      <c r="B7" s="362"/>
      <c r="C7" s="371"/>
      <c r="D7" s="371"/>
      <c r="E7" s="373" t="s">
        <v>970</v>
      </c>
      <c r="F7" s="549" t="s">
        <v>971</v>
      </c>
      <c r="G7" s="549"/>
      <c r="H7" s="375"/>
      <c r="I7" s="377"/>
      <c r="J7" s="377"/>
      <c r="K7" s="377"/>
      <c r="L7" s="377"/>
      <c r="M7" s="377"/>
    </row>
    <row r="8" spans="1:14" ht="36.75" customHeight="1" x14ac:dyDescent="0.2">
      <c r="A8" s="372"/>
      <c r="B8" s="542" t="s">
        <v>1103</v>
      </c>
      <c r="C8" s="542"/>
      <c r="D8" s="542"/>
      <c r="E8" s="374">
        <v>0.2009</v>
      </c>
      <c r="F8" s="543" t="s">
        <v>621</v>
      </c>
      <c r="G8" s="543"/>
      <c r="H8" s="376"/>
      <c r="I8" s="377"/>
      <c r="J8" s="377"/>
      <c r="K8" s="377"/>
      <c r="L8" s="377"/>
      <c r="M8" s="377"/>
    </row>
    <row r="9" spans="1:14" x14ac:dyDescent="0.2">
      <c r="A9" s="3"/>
      <c r="B9" s="3"/>
      <c r="C9" s="4"/>
      <c r="D9" s="7"/>
      <c r="E9" s="10"/>
      <c r="F9" s="8"/>
      <c r="G9" s="2"/>
      <c r="H9" s="2"/>
      <c r="I9" s="377"/>
      <c r="J9" s="377"/>
      <c r="K9" s="377"/>
      <c r="L9" s="377"/>
      <c r="M9" s="377"/>
    </row>
    <row r="10" spans="1:14" ht="12.75" thickBot="1" x14ac:dyDescent="0.25">
      <c r="I10" s="377"/>
      <c r="J10" s="377"/>
      <c r="K10" s="377"/>
      <c r="L10" s="377"/>
      <c r="M10" s="377"/>
    </row>
    <row r="11" spans="1:14" ht="36.75" thickBot="1" x14ac:dyDescent="0.25">
      <c r="A11" s="320" t="s">
        <v>5</v>
      </c>
      <c r="B11" s="321" t="s">
        <v>1086</v>
      </c>
      <c r="C11" s="321" t="s">
        <v>1087</v>
      </c>
      <c r="D11" s="322" t="s">
        <v>1088</v>
      </c>
      <c r="E11" s="322" t="s">
        <v>1089</v>
      </c>
      <c r="F11" s="322" t="s">
        <v>1090</v>
      </c>
      <c r="G11" s="322" t="s">
        <v>1091</v>
      </c>
      <c r="I11" s="377"/>
      <c r="J11" s="378" t="s">
        <v>1092</v>
      </c>
      <c r="K11" s="378">
        <f>'A-4_Planilha Básica de Orçament'!H15</f>
        <v>3574320.58</v>
      </c>
      <c r="L11" s="378">
        <f>K11*50%</f>
        <v>1787160.29</v>
      </c>
      <c r="M11" s="377"/>
    </row>
    <row r="12" spans="1:14" s="329" customFormat="1" x14ac:dyDescent="0.25">
      <c r="A12" s="323"/>
      <c r="B12" s="324"/>
      <c r="C12" s="324"/>
      <c r="D12" s="325"/>
      <c r="E12" s="326"/>
      <c r="F12" s="327"/>
      <c r="G12" s="328"/>
      <c r="I12" s="379"/>
      <c r="J12" s="379"/>
      <c r="K12" s="379"/>
      <c r="L12" s="379"/>
      <c r="M12" s="379"/>
    </row>
    <row r="13" spans="1:14" s="329" customFormat="1" ht="60" x14ac:dyDescent="0.2">
      <c r="A13" s="330" t="s">
        <v>1101</v>
      </c>
      <c r="B13" s="331" t="str">
        <f>'A-4_Planilha Básica de Orçament'!D19</f>
        <v>ASSENTAMENTO DE GUIA (MEIO-FIO) EM TRECHO RETO, CONFECCIONADA EM CONCRETO PRÉ-FABRICADO, DIMENSÕES 100X15X13X30 CM (COMPRIMENTO X BASE INFERIOR X BASE SUPERIOR X ALTURA), PARA VIAS URBANAS (USO VIÁRIO). AF_06/2016</v>
      </c>
      <c r="C13" s="332" t="s">
        <v>575</v>
      </c>
      <c r="D13" s="333">
        <f>I5</f>
        <v>12035.480000000001</v>
      </c>
      <c r="E13" s="334">
        <f>D13*E22</f>
        <v>701187.06480000005</v>
      </c>
      <c r="F13" s="335">
        <f>E13/K$11</f>
        <v>0.19617352420022718</v>
      </c>
      <c r="G13" s="336">
        <f>F13</f>
        <v>0.19617352420022718</v>
      </c>
      <c r="I13" s="379"/>
      <c r="J13" s="379"/>
      <c r="K13" s="380"/>
      <c r="L13" s="381"/>
      <c r="M13" s="382"/>
    </row>
    <row r="14" spans="1:14" s="329" customFormat="1" ht="48" x14ac:dyDescent="0.25">
      <c r="A14" s="338" t="s">
        <v>1102</v>
      </c>
      <c r="B14" s="339" t="str">
        <f>'A-4_Planilha Básica de Orçament'!D21</f>
        <v>EXECUÇÃO DE PAVIMENTO EM PARALELEPÍPEDOS SOBRE COLCHÃO DE PÓ DE PEDRA E REJUNTAMENTO COM ARGAMASSA TRAÇO 1:3 (PEDRAS PEQUENAS 30 A 35 PEÇAS POR M²).</v>
      </c>
      <c r="C14" s="340" t="s">
        <v>571</v>
      </c>
      <c r="D14" s="333">
        <f>I6</f>
        <v>38258.49</v>
      </c>
      <c r="E14" s="341">
        <f>D14*E23</f>
        <v>2683833.0734999999</v>
      </c>
      <c r="F14" s="335">
        <f t="shared" ref="F14" si="0">E14/K$11</f>
        <v>0.75086523814268502</v>
      </c>
      <c r="G14" s="336">
        <f>G13+F14</f>
        <v>0.94703876234291218</v>
      </c>
      <c r="I14" s="379"/>
      <c r="J14" s="379"/>
      <c r="K14" s="380"/>
      <c r="L14" s="380"/>
      <c r="M14" s="383"/>
      <c r="N14" s="342"/>
    </row>
    <row r="15" spans="1:14" ht="12.75" thickBot="1" x14ac:dyDescent="0.25">
      <c r="A15" s="343"/>
      <c r="B15" s="344"/>
      <c r="C15" s="344"/>
      <c r="D15" s="345"/>
      <c r="E15" s="344"/>
      <c r="F15" s="344"/>
      <c r="G15" s="346"/>
    </row>
    <row r="16" spans="1:14" x14ac:dyDescent="0.2">
      <c r="D16" s="347"/>
    </row>
    <row r="18" spans="1:12" ht="18" x14ac:dyDescent="0.2">
      <c r="A18" s="545" t="s">
        <v>1093</v>
      </c>
      <c r="B18" s="545"/>
      <c r="C18" s="545"/>
      <c r="D18" s="545"/>
      <c r="E18" s="545"/>
      <c r="F18" s="545"/>
      <c r="G18" s="545"/>
      <c r="I18" s="337"/>
      <c r="J18" s="337"/>
      <c r="K18" s="337"/>
      <c r="L18" s="348"/>
    </row>
    <row r="19" spans="1:12" ht="12.75" thickBot="1" x14ac:dyDescent="0.25">
      <c r="A19" s="117"/>
      <c r="B19" s="117"/>
      <c r="C19" s="117"/>
      <c r="D19" s="117"/>
      <c r="E19" s="117"/>
      <c r="F19" s="117"/>
      <c r="G19" s="117"/>
    </row>
    <row r="20" spans="1:12" ht="24.75" thickBot="1" x14ac:dyDescent="0.25">
      <c r="A20" s="349" t="s">
        <v>5</v>
      </c>
      <c r="B20" s="350" t="s">
        <v>1086</v>
      </c>
      <c r="C20" s="350" t="s">
        <v>1087</v>
      </c>
      <c r="D20" s="351" t="s">
        <v>1088</v>
      </c>
      <c r="E20" s="352" t="s">
        <v>1094</v>
      </c>
      <c r="F20" s="351" t="s">
        <v>1089</v>
      </c>
      <c r="G20" s="351" t="s">
        <v>1090</v>
      </c>
    </row>
    <row r="21" spans="1:12" x14ac:dyDescent="0.2">
      <c r="A21" s="323"/>
      <c r="B21" s="324"/>
      <c r="C21" s="324"/>
      <c r="D21" s="325"/>
      <c r="E21" s="353"/>
      <c r="F21" s="326"/>
      <c r="G21" s="328"/>
    </row>
    <row r="22" spans="1:12" ht="60" x14ac:dyDescent="0.2">
      <c r="A22" s="330" t="s">
        <v>1101</v>
      </c>
      <c r="B22" s="331" t="str">
        <f>'A-4_Planilha Básica de Orçament'!D19</f>
        <v>ASSENTAMENTO DE GUIA (MEIO-FIO) EM TRECHO RETO, CONFECCIONADA EM CONCRETO PRÉ-FABRICADO, DIMENSÕES 100X15X13X30 CM (COMPRIMENTO X BASE INFERIOR X BASE SUPERIOR X ALTURA), PARA VIAS URBANAS (USO VIÁRIO). AF_06/2016</v>
      </c>
      <c r="C22" s="332" t="s">
        <v>575</v>
      </c>
      <c r="D22" s="333">
        <f>D13*10%</f>
        <v>1203.5480000000002</v>
      </c>
      <c r="E22" s="354">
        <f>'A-4_Planilha Básica de Orçament'!G19</f>
        <v>58.26</v>
      </c>
      <c r="F22" s="334">
        <f>D22*E22</f>
        <v>70118.706480000008</v>
      </c>
      <c r="G22" s="355">
        <f>D22/D13</f>
        <v>0.1</v>
      </c>
    </row>
    <row r="23" spans="1:12" ht="48" x14ac:dyDescent="0.2">
      <c r="A23" s="338" t="s">
        <v>1102</v>
      </c>
      <c r="B23" s="339" t="str">
        <f>'A-4_Planilha Básica de Orçament'!D21</f>
        <v>EXECUÇÃO DE PAVIMENTO EM PARALELEPÍPEDOS SOBRE COLCHÃO DE PÓ DE PEDRA E REJUNTAMENTO COM ARGAMASSA TRAÇO 1:3 (PEDRAS PEQUENAS 30 A 35 PEÇAS POR M²).</v>
      </c>
      <c r="C23" s="340" t="s">
        <v>571</v>
      </c>
      <c r="D23" s="333">
        <f>D14*10%</f>
        <v>3825.8490000000002</v>
      </c>
      <c r="E23" s="354">
        <f>'A-4_Planilha Básica de Orçament'!G21</f>
        <v>70.150000000000006</v>
      </c>
      <c r="F23" s="334">
        <f t="shared" ref="F23" si="1">D23*E23</f>
        <v>268383.30735000002</v>
      </c>
      <c r="G23" s="355">
        <f>D23/D14</f>
        <v>0.1</v>
      </c>
    </row>
    <row r="24" spans="1:12" ht="12.75" thickBot="1" x14ac:dyDescent="0.25">
      <c r="A24" s="343"/>
      <c r="B24" s="344"/>
      <c r="C24" s="344"/>
      <c r="D24" s="345"/>
      <c r="E24" s="345"/>
      <c r="F24" s="344"/>
      <c r="G24" s="346"/>
    </row>
    <row r="26" spans="1:12" ht="18" x14ac:dyDescent="0.2">
      <c r="A26" s="545" t="s">
        <v>1095</v>
      </c>
      <c r="B26" s="545"/>
      <c r="C26" s="545"/>
      <c r="D26" s="545"/>
      <c r="E26" s="545"/>
      <c r="F26" s="545"/>
      <c r="G26" s="545"/>
    </row>
    <row r="27" spans="1:12" ht="12.75" thickBot="1" x14ac:dyDescent="0.25"/>
    <row r="28" spans="1:12" ht="12.75" thickBot="1" x14ac:dyDescent="0.25">
      <c r="A28" s="320" t="s">
        <v>5</v>
      </c>
      <c r="B28" s="546" t="s">
        <v>1086</v>
      </c>
      <c r="C28" s="546"/>
      <c r="D28" s="546"/>
      <c r="E28" s="546"/>
      <c r="F28" s="546"/>
      <c r="G28" s="321" t="s">
        <v>1087</v>
      </c>
    </row>
    <row r="29" spans="1:12" ht="37.5" customHeight="1" x14ac:dyDescent="0.2">
      <c r="A29" s="323" t="str">
        <f>A22</f>
        <v>a</v>
      </c>
      <c r="B29" s="547" t="str">
        <f>B22</f>
        <v>ASSENTAMENTO DE GUIA (MEIO-FIO) EM TRECHO RETO, CONFECCIONADA EM CONCRETO PRÉ-FABRICADO, DIMENSÕES 100X15X13X30 CM (COMPRIMENTO X BASE INFERIOR X BASE SUPERIOR X ALTURA), PARA VIAS URBANAS (USO VIÁRIO). AF_06/2016</v>
      </c>
      <c r="C29" s="547"/>
      <c r="D29" s="547"/>
      <c r="E29" s="547"/>
      <c r="F29" s="547"/>
      <c r="G29" s="356" t="str">
        <f>C22</f>
        <v>M</v>
      </c>
    </row>
    <row r="30" spans="1:12" ht="28.5" customHeight="1" x14ac:dyDescent="0.2">
      <c r="A30" s="357" t="str">
        <f>A23</f>
        <v>b</v>
      </c>
      <c r="B30" s="548" t="str">
        <f>B23</f>
        <v>EXECUÇÃO DE PAVIMENTO EM PARALELEPÍPEDOS SOBRE COLCHÃO DE PÓ DE PEDRA E REJUNTAMENTO COM ARGAMASSA TRAÇO 1:3 (PEDRAS PEQUENAS 30 A 35 PEÇAS POR M²).</v>
      </c>
      <c r="C30" s="548"/>
      <c r="D30" s="548"/>
      <c r="E30" s="548"/>
      <c r="F30" s="548"/>
      <c r="G30" s="358" t="str">
        <f>C23</f>
        <v>M²</v>
      </c>
    </row>
    <row r="31" spans="1:12" ht="15.75" customHeight="1" thickBot="1" x14ac:dyDescent="0.25">
      <c r="A31" s="359"/>
      <c r="B31" s="540"/>
      <c r="C31" s="540"/>
      <c r="D31" s="540"/>
      <c r="E31" s="540"/>
      <c r="F31" s="540"/>
      <c r="G31" s="360"/>
    </row>
    <row r="32" spans="1:12" x14ac:dyDescent="0.2">
      <c r="B32" s="361"/>
      <c r="C32" s="361"/>
      <c r="D32" s="361"/>
      <c r="E32" s="361"/>
      <c r="F32" s="361"/>
    </row>
    <row r="33" spans="1:7" ht="52.5" customHeight="1" x14ac:dyDescent="0.2">
      <c r="A33" s="541" t="s">
        <v>1096</v>
      </c>
      <c r="B33" s="541"/>
      <c r="C33" s="541"/>
      <c r="D33" s="541"/>
      <c r="E33" s="541"/>
      <c r="F33" s="541"/>
      <c r="G33" s="541"/>
    </row>
  </sheetData>
  <mergeCells count="11">
    <mergeCell ref="B31:F31"/>
    <mergeCell ref="A33:G33"/>
    <mergeCell ref="B8:D8"/>
    <mergeCell ref="F8:G8"/>
    <mergeCell ref="A2:G2"/>
    <mergeCell ref="A18:G18"/>
    <mergeCell ref="A26:G26"/>
    <mergeCell ref="B28:F28"/>
    <mergeCell ref="B29:F29"/>
    <mergeCell ref="B30:F30"/>
    <mergeCell ref="F7:G7"/>
  </mergeCells>
  <printOptions horizontalCentered="1"/>
  <pageMargins left="0.51181102362204722" right="0.51181102362204722" top="0.98425196850393704" bottom="0.78740157480314965" header="0.19685039370078741" footer="0.19685039370078741"/>
  <pageSetup paperSize="9" scale="79" orientation="portrait" verticalDpi="0" r:id="rId1"/>
  <headerFooter>
    <oddHeader>&amp;L&amp;G&amp;R&amp;G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9774-9248-444C-B3C0-11DA73523920}">
  <dimension ref="A1:C69"/>
  <sheetViews>
    <sheetView topLeftCell="A49" workbookViewId="0">
      <selection activeCell="E12" sqref="E12"/>
    </sheetView>
  </sheetViews>
  <sheetFormatPr defaultRowHeight="15" x14ac:dyDescent="0.25"/>
  <cols>
    <col min="2" max="2" width="54.85546875" customWidth="1"/>
    <col min="3" max="3" width="34.85546875" customWidth="1"/>
  </cols>
  <sheetData>
    <row r="1" spans="1:3" x14ac:dyDescent="0.25">
      <c r="A1" s="1"/>
      <c r="B1" s="1"/>
      <c r="C1" s="2"/>
    </row>
    <row r="2" spans="1:3" ht="43.5" customHeight="1" x14ac:dyDescent="0.25">
      <c r="A2" s="405" t="s">
        <v>342</v>
      </c>
      <c r="B2" s="405"/>
      <c r="C2" s="405"/>
    </row>
    <row r="3" spans="1:3" x14ac:dyDescent="0.25">
      <c r="A3" s="1"/>
      <c r="B3" s="1"/>
      <c r="C3" s="2"/>
    </row>
    <row r="4" spans="1:3" x14ac:dyDescent="0.25">
      <c r="A4" s="3" t="s">
        <v>1</v>
      </c>
      <c r="B4" s="5"/>
      <c r="C4" s="6"/>
    </row>
    <row r="5" spans="1:3" x14ac:dyDescent="0.25">
      <c r="A5" s="3" t="s">
        <v>2</v>
      </c>
      <c r="B5" s="7"/>
      <c r="C5" s="8"/>
    </row>
    <row r="6" spans="1:3" x14ac:dyDescent="0.25">
      <c r="A6" s="3" t="s">
        <v>343</v>
      </c>
      <c r="B6" s="7"/>
      <c r="C6" s="8"/>
    </row>
    <row r="7" spans="1:3" ht="15.75" thickBot="1" x14ac:dyDescent="0.3">
      <c r="A7" s="12"/>
      <c r="B7" s="13"/>
      <c r="C7" s="14"/>
    </row>
    <row r="8" spans="1:3" ht="15.75" thickBot="1" x14ac:dyDescent="0.3">
      <c r="A8" s="73" t="s">
        <v>5</v>
      </c>
      <c r="B8" s="74" t="s">
        <v>256</v>
      </c>
      <c r="C8" s="75" t="s">
        <v>258</v>
      </c>
    </row>
    <row r="9" spans="1:3" x14ac:dyDescent="0.25">
      <c r="A9" s="46" t="s">
        <v>259</v>
      </c>
      <c r="B9" s="49" t="s">
        <v>257</v>
      </c>
      <c r="C9" s="48"/>
    </row>
    <row r="10" spans="1:3" s="66" customFormat="1" ht="22.5" x14ac:dyDescent="0.25">
      <c r="A10" s="63" t="s">
        <v>17</v>
      </c>
      <c r="B10" s="64" t="s">
        <v>54</v>
      </c>
      <c r="C10" s="65" t="s">
        <v>260</v>
      </c>
    </row>
    <row r="11" spans="1:3" s="66" customFormat="1" ht="22.5" x14ac:dyDescent="0.25">
      <c r="A11" s="63" t="s">
        <v>261</v>
      </c>
      <c r="B11" s="64" t="s">
        <v>262</v>
      </c>
      <c r="C11" s="65" t="s">
        <v>260</v>
      </c>
    </row>
    <row r="12" spans="1:3" s="66" customFormat="1" ht="22.5" x14ac:dyDescent="0.25">
      <c r="A12" s="63" t="s">
        <v>263</v>
      </c>
      <c r="B12" s="64" t="s">
        <v>264</v>
      </c>
      <c r="C12" s="65" t="s">
        <v>260</v>
      </c>
    </row>
    <row r="13" spans="1:3" s="66" customFormat="1" ht="22.5" x14ac:dyDescent="0.25">
      <c r="A13" s="63" t="s">
        <v>265</v>
      </c>
      <c r="B13" s="64" t="s">
        <v>266</v>
      </c>
      <c r="C13" s="65" t="s">
        <v>260</v>
      </c>
    </row>
    <row r="14" spans="1:3" s="66" customFormat="1" ht="22.5" x14ac:dyDescent="0.25">
      <c r="A14" s="63" t="s">
        <v>267</v>
      </c>
      <c r="B14" s="64" t="s">
        <v>71</v>
      </c>
      <c r="C14" s="65" t="s">
        <v>260</v>
      </c>
    </row>
    <row r="15" spans="1:3" s="66" customFormat="1" ht="22.5" x14ac:dyDescent="0.25">
      <c r="A15" s="63" t="s">
        <v>268</v>
      </c>
      <c r="B15" s="64" t="s">
        <v>269</v>
      </c>
      <c r="C15" s="65" t="s">
        <v>260</v>
      </c>
    </row>
    <row r="16" spans="1:3" s="66" customFormat="1" ht="22.5" x14ac:dyDescent="0.25">
      <c r="A16" s="63" t="s">
        <v>270</v>
      </c>
      <c r="B16" s="64" t="s">
        <v>271</v>
      </c>
      <c r="C16" s="65" t="s">
        <v>272</v>
      </c>
    </row>
    <row r="17" spans="1:3" s="66" customFormat="1" x14ac:dyDescent="0.25">
      <c r="A17" s="63"/>
      <c r="B17" s="64"/>
      <c r="C17" s="65"/>
    </row>
    <row r="18" spans="1:3" ht="22.5" x14ac:dyDescent="0.25">
      <c r="A18" s="46" t="s">
        <v>273</v>
      </c>
      <c r="B18" s="49" t="s">
        <v>274</v>
      </c>
      <c r="C18" s="48"/>
    </row>
    <row r="19" spans="1:3" s="66" customFormat="1" x14ac:dyDescent="0.25">
      <c r="A19" s="63" t="s">
        <v>24</v>
      </c>
      <c r="B19" s="64" t="s">
        <v>89</v>
      </c>
      <c r="C19" s="65" t="s">
        <v>275</v>
      </c>
    </row>
    <row r="20" spans="1:3" s="66" customFormat="1" x14ac:dyDescent="0.25">
      <c r="A20" s="63"/>
      <c r="B20" s="64"/>
      <c r="C20" s="65"/>
    </row>
    <row r="21" spans="1:3" x14ac:dyDescent="0.25">
      <c r="A21" s="46" t="s">
        <v>276</v>
      </c>
      <c r="B21" s="49" t="s">
        <v>277</v>
      </c>
      <c r="C21" s="48"/>
    </row>
    <row r="22" spans="1:3" s="66" customFormat="1" x14ac:dyDescent="0.25">
      <c r="A22" s="63" t="s">
        <v>29</v>
      </c>
      <c r="B22" s="64" t="s">
        <v>279</v>
      </c>
      <c r="C22" s="65"/>
    </row>
    <row r="23" spans="1:3" s="66" customFormat="1" ht="33.75" x14ac:dyDescent="0.25">
      <c r="A23" s="63" t="s">
        <v>31</v>
      </c>
      <c r="B23" s="64" t="s">
        <v>280</v>
      </c>
      <c r="C23" s="65" t="s">
        <v>281</v>
      </c>
    </row>
    <row r="24" spans="1:3" s="66" customFormat="1" ht="22.5" x14ac:dyDescent="0.25">
      <c r="A24" s="63" t="s">
        <v>34</v>
      </c>
      <c r="B24" s="64" t="s">
        <v>251</v>
      </c>
      <c r="C24" s="65" t="s">
        <v>278</v>
      </c>
    </row>
    <row r="25" spans="1:3" s="66" customFormat="1" ht="22.5" x14ac:dyDescent="0.25">
      <c r="A25" s="63" t="s">
        <v>99</v>
      </c>
      <c r="B25" s="64" t="s">
        <v>282</v>
      </c>
      <c r="C25" s="65" t="s">
        <v>283</v>
      </c>
    </row>
    <row r="26" spans="1:3" s="66" customFormat="1" ht="33.75" x14ac:dyDescent="0.25">
      <c r="A26" s="63" t="s">
        <v>113</v>
      </c>
      <c r="B26" s="64" t="s">
        <v>284</v>
      </c>
      <c r="C26" s="65" t="s">
        <v>344</v>
      </c>
    </row>
    <row r="27" spans="1:3" s="66" customFormat="1" x14ac:dyDescent="0.25">
      <c r="A27" s="63" t="s">
        <v>139</v>
      </c>
      <c r="B27" s="64" t="s">
        <v>347</v>
      </c>
      <c r="C27" s="65"/>
    </row>
    <row r="28" spans="1:3" s="66" customFormat="1" x14ac:dyDescent="0.25">
      <c r="A28" s="63" t="s">
        <v>174</v>
      </c>
      <c r="B28" s="64" t="s">
        <v>348</v>
      </c>
      <c r="C28" s="65"/>
    </row>
    <row r="29" spans="1:3" s="66" customFormat="1" x14ac:dyDescent="0.25">
      <c r="A29" s="63" t="s">
        <v>222</v>
      </c>
      <c r="B29" s="64" t="s">
        <v>349</v>
      </c>
      <c r="C29" s="65"/>
    </row>
    <row r="30" spans="1:3" x14ac:dyDescent="0.25">
      <c r="A30" s="56"/>
      <c r="B30" s="57"/>
      <c r="C30" s="62"/>
    </row>
    <row r="31" spans="1:3" x14ac:dyDescent="0.25">
      <c r="A31" s="46" t="s">
        <v>286</v>
      </c>
      <c r="B31" s="49" t="s">
        <v>100</v>
      </c>
      <c r="C31" s="48"/>
    </row>
    <row r="32" spans="1:3" s="66" customFormat="1" ht="45" x14ac:dyDescent="0.25">
      <c r="A32" s="63" t="s">
        <v>287</v>
      </c>
      <c r="B32" s="64" t="s">
        <v>106</v>
      </c>
      <c r="C32" s="65" t="s">
        <v>285</v>
      </c>
    </row>
    <row r="33" spans="1:3" s="66" customFormat="1" ht="22.5" x14ac:dyDescent="0.25">
      <c r="A33" s="63" t="s">
        <v>288</v>
      </c>
      <c r="B33" s="64" t="s">
        <v>112</v>
      </c>
      <c r="C33" s="65" t="s">
        <v>289</v>
      </c>
    </row>
    <row r="34" spans="1:3" x14ac:dyDescent="0.25">
      <c r="A34" s="56"/>
      <c r="B34" s="57"/>
      <c r="C34" s="57"/>
    </row>
    <row r="35" spans="1:3" ht="22.5" x14ac:dyDescent="0.25">
      <c r="A35" s="46" t="s">
        <v>290</v>
      </c>
      <c r="B35" s="49" t="s">
        <v>140</v>
      </c>
      <c r="C35" s="48"/>
    </row>
    <row r="36" spans="1:3" s="66" customFormat="1" x14ac:dyDescent="0.25">
      <c r="A36" s="63" t="s">
        <v>291</v>
      </c>
      <c r="B36" s="64" t="s">
        <v>292</v>
      </c>
      <c r="C36" s="65"/>
    </row>
    <row r="37" spans="1:3" s="66" customFormat="1" ht="33.75" x14ac:dyDescent="0.25">
      <c r="A37" s="63" t="s">
        <v>295</v>
      </c>
      <c r="B37" s="64" t="s">
        <v>293</v>
      </c>
      <c r="C37" s="65" t="s">
        <v>294</v>
      </c>
    </row>
    <row r="38" spans="1:3" s="66" customFormat="1" ht="22.5" x14ac:dyDescent="0.25">
      <c r="A38" s="63" t="s">
        <v>296</v>
      </c>
      <c r="B38" s="64" t="s">
        <v>297</v>
      </c>
      <c r="C38" s="65"/>
    </row>
    <row r="39" spans="1:3" s="66" customFormat="1" ht="22.5" x14ac:dyDescent="0.25">
      <c r="A39" s="63" t="s">
        <v>300</v>
      </c>
      <c r="B39" s="64" t="s">
        <v>298</v>
      </c>
      <c r="C39" s="65" t="s">
        <v>299</v>
      </c>
    </row>
    <row r="40" spans="1:3" s="66" customFormat="1" ht="22.5" x14ac:dyDescent="0.25">
      <c r="A40" s="63" t="s">
        <v>301</v>
      </c>
      <c r="B40" s="64" t="s">
        <v>302</v>
      </c>
      <c r="C40" s="65"/>
    </row>
    <row r="41" spans="1:3" s="66" customFormat="1" x14ac:dyDescent="0.25">
      <c r="A41" s="67"/>
      <c r="B41" s="68"/>
      <c r="C41" s="69"/>
    </row>
    <row r="42" spans="1:3" x14ac:dyDescent="0.25">
      <c r="A42" s="46" t="s">
        <v>303</v>
      </c>
      <c r="B42" s="49" t="s">
        <v>323</v>
      </c>
      <c r="C42" s="48"/>
    </row>
    <row r="43" spans="1:3" s="66" customFormat="1" x14ac:dyDescent="0.25">
      <c r="A43" s="63" t="s">
        <v>304</v>
      </c>
      <c r="B43" s="64" t="s">
        <v>305</v>
      </c>
      <c r="C43" s="65" t="s">
        <v>306</v>
      </c>
    </row>
    <row r="44" spans="1:3" s="66" customFormat="1" ht="22.5" x14ac:dyDescent="0.25">
      <c r="A44" s="63" t="s">
        <v>307</v>
      </c>
      <c r="B44" s="64" t="s">
        <v>345</v>
      </c>
      <c r="C44" s="65" t="s">
        <v>308</v>
      </c>
    </row>
    <row r="45" spans="1:3" s="66" customFormat="1" ht="22.5" x14ac:dyDescent="0.25">
      <c r="A45" s="63" t="s">
        <v>309</v>
      </c>
      <c r="B45" s="64" t="s">
        <v>310</v>
      </c>
      <c r="C45" s="65" t="s">
        <v>311</v>
      </c>
    </row>
    <row r="46" spans="1:3" s="66" customFormat="1" ht="33.75" x14ac:dyDescent="0.25">
      <c r="A46" s="63" t="s">
        <v>313</v>
      </c>
      <c r="B46" s="64" t="s">
        <v>346</v>
      </c>
      <c r="C46" s="65" t="s">
        <v>312</v>
      </c>
    </row>
    <row r="47" spans="1:3" s="66" customFormat="1" ht="33.75" x14ac:dyDescent="0.25">
      <c r="A47" s="63" t="s">
        <v>314</v>
      </c>
      <c r="B47" s="64" t="s">
        <v>315</v>
      </c>
      <c r="C47" s="65" t="s">
        <v>316</v>
      </c>
    </row>
    <row r="48" spans="1:3" s="66" customFormat="1" ht="33.75" x14ac:dyDescent="0.25">
      <c r="A48" s="63" t="s">
        <v>317</v>
      </c>
      <c r="B48" s="64" t="s">
        <v>318</v>
      </c>
      <c r="C48" s="65" t="s">
        <v>316</v>
      </c>
    </row>
    <row r="49" spans="1:3" s="66" customFormat="1" ht="33.75" x14ac:dyDescent="0.25">
      <c r="A49" s="63" t="s">
        <v>319</v>
      </c>
      <c r="B49" s="64" t="s">
        <v>320</v>
      </c>
      <c r="C49" s="65" t="s">
        <v>316</v>
      </c>
    </row>
    <row r="50" spans="1:3" s="66" customFormat="1" ht="33.75" x14ac:dyDescent="0.25">
      <c r="A50" s="63" t="s">
        <v>321</v>
      </c>
      <c r="B50" s="64" t="s">
        <v>138</v>
      </c>
      <c r="C50" s="65" t="s">
        <v>322</v>
      </c>
    </row>
    <row r="51" spans="1:3" x14ac:dyDescent="0.25">
      <c r="A51" s="56"/>
      <c r="B51" s="57"/>
      <c r="C51" s="62"/>
    </row>
    <row r="52" spans="1:3" x14ac:dyDescent="0.25">
      <c r="A52" s="46" t="s">
        <v>324</v>
      </c>
      <c r="B52" s="49" t="s">
        <v>175</v>
      </c>
      <c r="C52" s="48"/>
    </row>
    <row r="53" spans="1:3" s="66" customFormat="1" ht="22.5" x14ac:dyDescent="0.25">
      <c r="A53" s="63" t="s">
        <v>325</v>
      </c>
      <c r="B53" s="64" t="s">
        <v>181</v>
      </c>
      <c r="C53" s="65" t="s">
        <v>326</v>
      </c>
    </row>
    <row r="54" spans="1:3" s="66" customFormat="1" ht="22.5" x14ac:dyDescent="0.25">
      <c r="A54" s="63" t="s">
        <v>327</v>
      </c>
      <c r="B54" s="64" t="s">
        <v>329</v>
      </c>
      <c r="C54" s="65" t="s">
        <v>328</v>
      </c>
    </row>
    <row r="55" spans="1:3" s="66" customFormat="1" x14ac:dyDescent="0.25">
      <c r="A55" s="63" t="s">
        <v>330</v>
      </c>
      <c r="B55" s="64" t="s">
        <v>192</v>
      </c>
      <c r="C55" s="65"/>
    </row>
    <row r="56" spans="1:3" s="66" customFormat="1" x14ac:dyDescent="0.25">
      <c r="A56" s="63" t="s">
        <v>331</v>
      </c>
      <c r="B56" s="64" t="s">
        <v>198</v>
      </c>
      <c r="C56" s="65"/>
    </row>
    <row r="57" spans="1:3" s="66" customFormat="1" x14ac:dyDescent="0.25">
      <c r="A57" s="63" t="s">
        <v>332</v>
      </c>
      <c r="B57" s="64" t="s">
        <v>204</v>
      </c>
      <c r="C57" s="65"/>
    </row>
    <row r="58" spans="1:3" s="66" customFormat="1" x14ac:dyDescent="0.25">
      <c r="A58" s="63" t="s">
        <v>333</v>
      </c>
      <c r="B58" s="64" t="s">
        <v>210</v>
      </c>
      <c r="C58" s="65"/>
    </row>
    <row r="59" spans="1:3" s="66" customFormat="1" x14ac:dyDescent="0.25">
      <c r="A59" s="63" t="s">
        <v>335</v>
      </c>
      <c r="B59" s="64" t="s">
        <v>244</v>
      </c>
      <c r="C59" s="65"/>
    </row>
    <row r="60" spans="1:3" s="66" customFormat="1" x14ac:dyDescent="0.25">
      <c r="A60" s="63" t="s">
        <v>334</v>
      </c>
      <c r="B60" s="64" t="s">
        <v>221</v>
      </c>
      <c r="C60" s="70"/>
    </row>
    <row r="61" spans="1:3" s="66" customFormat="1" x14ac:dyDescent="0.25">
      <c r="A61" s="63" t="s">
        <v>336</v>
      </c>
      <c r="B61" s="64" t="s">
        <v>246</v>
      </c>
      <c r="C61" s="70"/>
    </row>
    <row r="62" spans="1:3" x14ac:dyDescent="0.25">
      <c r="A62" s="56"/>
      <c r="B62" s="57"/>
      <c r="C62" s="57"/>
    </row>
    <row r="63" spans="1:3" x14ac:dyDescent="0.25">
      <c r="A63" s="46" t="s">
        <v>337</v>
      </c>
      <c r="B63" s="49" t="s">
        <v>223</v>
      </c>
      <c r="C63" s="47"/>
    </row>
    <row r="64" spans="1:3" s="66" customFormat="1" x14ac:dyDescent="0.25">
      <c r="A64" s="63" t="s">
        <v>338</v>
      </c>
      <c r="B64" s="64" t="s">
        <v>229</v>
      </c>
      <c r="C64" s="70" t="s">
        <v>339</v>
      </c>
    </row>
    <row r="65" spans="1:3" s="66" customFormat="1" x14ac:dyDescent="0.25">
      <c r="A65" s="63" t="s">
        <v>340</v>
      </c>
      <c r="B65" s="64" t="s">
        <v>235</v>
      </c>
      <c r="C65" s="70"/>
    </row>
    <row r="66" spans="1:3" s="66" customFormat="1" ht="22.5" x14ac:dyDescent="0.25">
      <c r="A66" s="63" t="s">
        <v>341</v>
      </c>
      <c r="B66" s="64" t="s">
        <v>241</v>
      </c>
      <c r="C66" s="70"/>
    </row>
    <row r="67" spans="1:3" s="66" customFormat="1" ht="15.75" thickBot="1" x14ac:dyDescent="0.3">
      <c r="A67" s="71"/>
      <c r="B67" s="72"/>
      <c r="C67" s="72"/>
    </row>
    <row r="69" spans="1:3" x14ac:dyDescent="0.25">
      <c r="A69" s="76"/>
      <c r="B69" s="77" t="s">
        <v>350</v>
      </c>
      <c r="C69" s="76"/>
    </row>
  </sheetData>
  <mergeCells count="1">
    <mergeCell ref="A2:C2"/>
  </mergeCells>
  <phoneticPr fontId="10" type="noConversion"/>
  <printOptions horizontalCentered="1"/>
  <pageMargins left="0.51181102362204722" right="0.51181102362204722" top="0.78740157480314965" bottom="0.78740157480314965" header="0.31496062992125984" footer="0.31496062992125984"/>
  <pageSetup paperSize="9"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A-1_Memória de Cálculo</vt:lpstr>
      <vt:lpstr>A-2_BDI-Não Desonerado</vt:lpstr>
      <vt:lpstr>A-3_Composições Própria</vt:lpstr>
      <vt:lpstr>A-4_Planilha Básica de Orçament</vt:lpstr>
      <vt:lpstr>A-5_Cronograma Fis.Fin.</vt:lpstr>
      <vt:lpstr>A-6_Encargos Sociais</vt:lpstr>
      <vt:lpstr>A-7_Itens de Relevância</vt:lpstr>
      <vt:lpstr>Planilha2</vt:lpstr>
      <vt:lpstr>'A-1_Memória de Cálculo'!Area_de_impressao</vt:lpstr>
      <vt:lpstr>'A-2_BDI-Não Desonerado'!Area_de_impressao</vt:lpstr>
      <vt:lpstr>'A-3_Composições Própria'!Area_de_impressao</vt:lpstr>
      <vt:lpstr>'A-4_Planilha Básica de Orçament'!Area_de_impressao</vt:lpstr>
      <vt:lpstr>'A-5_Cronograma Fis.Fin.'!Area_de_impressao</vt:lpstr>
      <vt:lpstr>'A-7_Itens de Relevância'!Area_de_impressao</vt:lpstr>
      <vt:lpstr>Planilha2!Area_de_impressao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Computador</dc:creator>
  <cp:lastModifiedBy>Computador</cp:lastModifiedBy>
  <cp:lastPrinted>2022-05-30T17:22:25Z</cp:lastPrinted>
  <dcterms:created xsi:type="dcterms:W3CDTF">2022-04-05T13:13:04Z</dcterms:created>
  <dcterms:modified xsi:type="dcterms:W3CDTF">2022-05-30T17:23:00Z</dcterms:modified>
</cp:coreProperties>
</file>