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este\OneDrive\Área de Trabalho\PLANEJAMENTO\2- FINALIZADOS 2024\36 - MMH GERAL\"/>
    </mc:Choice>
  </mc:AlternateContent>
  <bookViews>
    <workbookView xWindow="-105" yWindow="-105" windowWidth="23250" windowHeight="12450" tabRatio="647" activeTab="2"/>
  </bookViews>
  <sheets>
    <sheet name="APÊNDICE I - ESPECIF. E QUANT." sheetId="12" r:id="rId1"/>
    <sheet name="APÊNDICE II-MEMÓRIA DE CÁLCULO" sheetId="13" r:id="rId2"/>
    <sheet name="APÊNDICE III - MAPA DE PREÇOS" sheetId="9" r:id="rId3"/>
  </sheets>
  <definedNames>
    <definedName name="_xlnm._FilterDatabase" localSheetId="2" hidden="1">'APÊNDICE III - MAPA DE PREÇOS'!$A$4:$AK$351</definedName>
    <definedName name="_xlnm._FilterDatabase" localSheetId="1" hidden="1">'APÊNDICE II-MEMÓRIA DE CÁLCULO'!$A$5:$M$351</definedName>
    <definedName name="_xlnm.Print_Area" localSheetId="2">'APÊNDICE III - MAPA DE PREÇOS'!$A$1:$Y$351</definedName>
    <definedName name="SOMA" localSheetId="2">#REF!</definedName>
    <definedName name="SOM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3" i="9" l="1"/>
  <c r="F112" i="9"/>
  <c r="F310" i="12"/>
  <c r="F309" i="12"/>
  <c r="F112" i="12"/>
  <c r="F113" i="12"/>
  <c r="F111" i="12"/>
  <c r="F6" i="12"/>
  <c r="H111" i="12"/>
  <c r="H112" i="12"/>
  <c r="H113" i="12"/>
  <c r="H309" i="12"/>
  <c r="F111" i="9"/>
  <c r="F6" i="9"/>
  <c r="F310" i="9"/>
  <c r="F309" i="9"/>
  <c r="I51" i="9" l="1"/>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5" i="12"/>
  <c r="F7" i="9" l="1"/>
  <c r="F8" i="9"/>
  <c r="F9" i="9"/>
  <c r="F10" i="9"/>
  <c r="F11" i="9"/>
  <c r="F12" i="9"/>
  <c r="F13" i="9"/>
  <c r="F14" i="9"/>
  <c r="F15" i="9"/>
  <c r="F16" i="9"/>
  <c r="F18" i="9"/>
  <c r="F22" i="9"/>
  <c r="F24" i="9"/>
  <c r="F26" i="9"/>
  <c r="F27" i="9"/>
  <c r="F29" i="9"/>
  <c r="F32" i="9"/>
  <c r="F33" i="9"/>
  <c r="F34" i="9"/>
  <c r="F35" i="9"/>
  <c r="F38" i="9"/>
  <c r="F39" i="9"/>
  <c r="F40" i="9"/>
  <c r="F41" i="9"/>
  <c r="F42" i="9"/>
  <c r="F43"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8" i="9"/>
  <c r="F79" i="9"/>
  <c r="F80" i="9"/>
  <c r="F81" i="9"/>
  <c r="F82" i="9"/>
  <c r="F83" i="9"/>
  <c r="F84" i="9"/>
  <c r="F85" i="9"/>
  <c r="F86" i="9"/>
  <c r="F87" i="9"/>
  <c r="F88" i="9"/>
  <c r="F89" i="9"/>
  <c r="F90" i="9"/>
  <c r="F91" i="9"/>
  <c r="F92" i="9"/>
  <c r="F93" i="9"/>
  <c r="F94" i="9"/>
  <c r="F95" i="9"/>
  <c r="F96" i="9"/>
  <c r="F97" i="9"/>
  <c r="F98" i="9"/>
  <c r="F99" i="9"/>
  <c r="F100" i="9"/>
  <c r="F101" i="9"/>
  <c r="F102" i="9"/>
  <c r="F104" i="9"/>
  <c r="F105" i="9"/>
  <c r="F107" i="9"/>
  <c r="F108" i="9"/>
  <c r="F109" i="9"/>
  <c r="F110" i="9"/>
  <c r="F115" i="9"/>
  <c r="F116" i="9"/>
  <c r="F122" i="9"/>
  <c r="F123" i="9"/>
  <c r="F124" i="9"/>
  <c r="F125" i="9"/>
  <c r="F126" i="9"/>
  <c r="F127" i="9"/>
  <c r="F128" i="9"/>
  <c r="F130" i="9"/>
  <c r="F131" i="9"/>
  <c r="F132" i="9"/>
  <c r="F133" i="9"/>
  <c r="F134" i="9"/>
  <c r="F136" i="9"/>
  <c r="F137" i="9"/>
  <c r="F138" i="9"/>
  <c r="F139" i="9"/>
  <c r="F140" i="9"/>
  <c r="F142" i="9"/>
  <c r="F143" i="9"/>
  <c r="F144" i="9"/>
  <c r="F145" i="9"/>
  <c r="F146" i="9"/>
  <c r="F147" i="9"/>
  <c r="F149" i="9"/>
  <c r="F150" i="9"/>
  <c r="F151" i="9"/>
  <c r="F152" i="9"/>
  <c r="F153" i="9"/>
  <c r="F154" i="9"/>
  <c r="F155" i="9"/>
  <c r="F156" i="9"/>
  <c r="F157" i="9"/>
  <c r="F158" i="9"/>
  <c r="F160" i="9"/>
  <c r="F161" i="9"/>
  <c r="F164" i="9"/>
  <c r="F165" i="9"/>
  <c r="F166" i="9"/>
  <c r="F167" i="9"/>
  <c r="F168" i="9"/>
  <c r="F169" i="9"/>
  <c r="F172" i="9"/>
  <c r="F175" i="9"/>
  <c r="F176" i="9"/>
  <c r="F177" i="9"/>
  <c r="F178" i="9"/>
  <c r="F179" i="9"/>
  <c r="F183" i="9"/>
  <c r="F184" i="9"/>
  <c r="F185" i="9"/>
  <c r="F186" i="9"/>
  <c r="F187" i="9"/>
  <c r="F188" i="9"/>
  <c r="F189" i="9"/>
  <c r="F190" i="9"/>
  <c r="F191" i="9"/>
  <c r="F192" i="9"/>
  <c r="F193" i="9"/>
  <c r="F194" i="9"/>
  <c r="F195" i="9"/>
  <c r="F196" i="9"/>
  <c r="F197" i="9"/>
  <c r="F198" i="9"/>
  <c r="F200" i="9"/>
  <c r="F202" i="9"/>
  <c r="F203" i="9"/>
  <c r="F204" i="9"/>
  <c r="F205" i="9"/>
  <c r="F206" i="9"/>
  <c r="F207" i="9"/>
  <c r="F208" i="9"/>
  <c r="F209" i="9"/>
  <c r="F210" i="9"/>
  <c r="F212" i="9"/>
  <c r="F213" i="9"/>
  <c r="F214" i="9"/>
  <c r="F215" i="9"/>
  <c r="F216" i="9"/>
  <c r="F218" i="9"/>
  <c r="F219" i="9"/>
  <c r="F220" i="9"/>
  <c r="F221" i="9"/>
  <c r="F222" i="9"/>
  <c r="F223" i="9"/>
  <c r="F224" i="9"/>
  <c r="F225" i="9"/>
  <c r="F226" i="9"/>
  <c r="F227" i="9"/>
  <c r="F228" i="9"/>
  <c r="F229" i="9"/>
  <c r="F231" i="9"/>
  <c r="F232" i="9"/>
  <c r="F233" i="9"/>
  <c r="F234" i="9"/>
  <c r="F235"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8" i="9"/>
  <c r="F269" i="9"/>
  <c r="F270" i="9"/>
  <c r="F271" i="9"/>
  <c r="F272" i="9"/>
  <c r="F273" i="9"/>
  <c r="F274" i="9"/>
  <c r="F275" i="9"/>
  <c r="F276" i="9"/>
  <c r="F277" i="9"/>
  <c r="F278" i="9"/>
  <c r="F279" i="9"/>
  <c r="F281" i="9"/>
  <c r="F282" i="9"/>
  <c r="F283" i="9"/>
  <c r="F284" i="9"/>
  <c r="F285" i="9"/>
  <c r="F286" i="9"/>
  <c r="F287" i="9"/>
  <c r="F288" i="9"/>
  <c r="F289" i="9"/>
  <c r="F290" i="9"/>
  <c r="F291" i="9"/>
  <c r="F292" i="9"/>
  <c r="F293" i="9"/>
  <c r="F294" i="9"/>
  <c r="F295" i="9"/>
  <c r="F296" i="9"/>
  <c r="F297" i="9"/>
  <c r="F299" i="9"/>
  <c r="F300" i="9"/>
  <c r="F302" i="9"/>
  <c r="F303" i="9"/>
  <c r="F304" i="9"/>
  <c r="F305" i="9"/>
  <c r="F306" i="9"/>
  <c r="F307" i="9"/>
  <c r="F308"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5" i="9"/>
  <c r="X103" i="9" l="1"/>
  <c r="J67" i="13" l="1"/>
  <c r="I49" i="13"/>
  <c r="I25" i="13" l="1"/>
  <c r="X350" i="9"/>
  <c r="X349" i="9"/>
  <c r="X348" i="9"/>
  <c r="X347" i="9"/>
  <c r="X346" i="9"/>
  <c r="X345" i="9"/>
  <c r="X344" i="9"/>
  <c r="X343" i="9"/>
  <c r="X342" i="9"/>
  <c r="X339" i="9"/>
  <c r="X338" i="9"/>
  <c r="X337" i="9"/>
  <c r="X336" i="9"/>
  <c r="X335" i="9"/>
  <c r="X334" i="9"/>
  <c r="X333" i="9"/>
  <c r="X332" i="9"/>
  <c r="X331" i="9"/>
  <c r="X330" i="9"/>
  <c r="X329" i="9"/>
  <c r="X328" i="9"/>
  <c r="X326" i="9"/>
  <c r="X325" i="9"/>
  <c r="X324" i="9"/>
  <c r="X323" i="9"/>
  <c r="X322" i="9"/>
  <c r="X321" i="9"/>
  <c r="X320" i="9"/>
  <c r="X319" i="9"/>
  <c r="X318" i="9"/>
  <c r="X317" i="9"/>
  <c r="X316" i="9"/>
  <c r="X315" i="9"/>
  <c r="X314" i="9"/>
  <c r="X313" i="9"/>
  <c r="X312" i="9"/>
  <c r="X311" i="9"/>
  <c r="X308" i="9"/>
  <c r="X307" i="9"/>
  <c r="X306" i="9"/>
  <c r="X305" i="9"/>
  <c r="X304" i="9"/>
  <c r="X303" i="9"/>
  <c r="X302" i="9"/>
  <c r="X301" i="9"/>
  <c r="X300" i="9"/>
  <c r="X299" i="9"/>
  <c r="X298" i="9"/>
  <c r="X297" i="9"/>
  <c r="X294" i="9"/>
  <c r="X292" i="9"/>
  <c r="X291" i="9"/>
  <c r="X290" i="9"/>
  <c r="X289" i="9"/>
  <c r="X288" i="9"/>
  <c r="X287" i="9"/>
  <c r="X286" i="9"/>
  <c r="X285" i="9"/>
  <c r="X284" i="9"/>
  <c r="X283" i="9"/>
  <c r="X282" i="9"/>
  <c r="X281" i="9"/>
  <c r="X280" i="9"/>
  <c r="X279" i="9"/>
  <c r="X278" i="9"/>
  <c r="X275" i="9"/>
  <c r="X274" i="9"/>
  <c r="X273" i="9"/>
  <c r="X270" i="9"/>
  <c r="X269" i="9"/>
  <c r="X268" i="9"/>
  <c r="X267" i="9"/>
  <c r="X266" i="9"/>
  <c r="X265" i="9"/>
  <c r="X264"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31" i="9"/>
  <c r="X230" i="9"/>
  <c r="X229" i="9"/>
  <c r="X228" i="9"/>
  <c r="X226" i="9"/>
  <c r="X227" i="9"/>
  <c r="X225" i="9"/>
  <c r="X224" i="9"/>
  <c r="X223" i="9"/>
  <c r="X221" i="9"/>
  <c r="X220" i="9"/>
  <c r="X215" i="9"/>
  <c r="X214" i="9"/>
  <c r="X213" i="9"/>
  <c r="X212" i="9"/>
  <c r="X211" i="9"/>
  <c r="X210" i="9"/>
  <c r="X209" i="9"/>
  <c r="X208" i="9"/>
  <c r="X207" i="9"/>
  <c r="X206" i="9"/>
  <c r="X205" i="9"/>
  <c r="X204" i="9"/>
  <c r="X203" i="9"/>
  <c r="X202" i="9"/>
  <c r="X200" i="9"/>
  <c r="X201" i="9"/>
  <c r="X199" i="9"/>
  <c r="X197" i="9"/>
  <c r="X196"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3" i="9"/>
  <c r="X161" i="9"/>
  <c r="X159" i="9"/>
  <c r="X157" i="9"/>
  <c r="X156" i="9"/>
  <c r="X155" i="9"/>
  <c r="X154" i="9"/>
  <c r="X153" i="9"/>
  <c r="X152" i="9"/>
  <c r="X151" i="9"/>
  <c r="X150" i="9"/>
  <c r="X149" i="9"/>
  <c r="X147" i="9"/>
  <c r="X146" i="9"/>
  <c r="X145" i="9"/>
  <c r="X144" i="9"/>
  <c r="X143" i="9"/>
  <c r="X142" i="9"/>
  <c r="X141" i="9"/>
  <c r="X140" i="9"/>
  <c r="X139" i="9"/>
  <c r="X129" i="9"/>
  <c r="X128" i="9"/>
  <c r="X127" i="9"/>
  <c r="X126" i="9"/>
  <c r="X125" i="9"/>
  <c r="X124" i="9"/>
  <c r="X123" i="9"/>
  <c r="X122" i="9"/>
  <c r="X121" i="9"/>
  <c r="X120" i="9"/>
  <c r="X119" i="9"/>
  <c r="X114" i="9"/>
  <c r="X109" i="9"/>
  <c r="X107" i="9"/>
  <c r="X106" i="9"/>
  <c r="X105" i="9"/>
  <c r="X104" i="9"/>
  <c r="X102" i="9"/>
  <c r="X101" i="9"/>
  <c r="X100" i="9"/>
  <c r="X99" i="9"/>
  <c r="X98" i="9"/>
  <c r="X97" i="9"/>
  <c r="X96" i="9"/>
  <c r="X95" i="9"/>
  <c r="X93" i="9"/>
  <c r="X90" i="9"/>
  <c r="X89" i="9"/>
  <c r="X88" i="9"/>
  <c r="X87" i="9"/>
  <c r="X86" i="9"/>
  <c r="X85" i="9"/>
  <c r="X84" i="9"/>
  <c r="X83" i="9"/>
  <c r="X82" i="9"/>
  <c r="X81" i="9"/>
  <c r="X80" i="9"/>
  <c r="X79" i="9"/>
  <c r="X78" i="9"/>
  <c r="X77" i="9"/>
  <c r="X76" i="9"/>
  <c r="X75" i="9"/>
  <c r="X74" i="9"/>
  <c r="X73" i="9"/>
  <c r="X72" i="9"/>
  <c r="X69" i="9"/>
  <c r="X68" i="9"/>
  <c r="X67" i="9"/>
  <c r="X66" i="9"/>
  <c r="X65" i="9"/>
  <c r="X64" i="9"/>
  <c r="X62" i="9"/>
  <c r="X61" i="9"/>
  <c r="X60" i="9"/>
  <c r="X59" i="9"/>
  <c r="X58" i="9"/>
  <c r="X57" i="9"/>
  <c r="X56" i="9"/>
  <c r="X55" i="9"/>
  <c r="X54" i="9"/>
  <c r="X52" i="9"/>
  <c r="X50" i="9"/>
  <c r="X48" i="9"/>
  <c r="X47" i="9"/>
  <c r="X46" i="9"/>
  <c r="X45" i="9"/>
  <c r="X44" i="9"/>
  <c r="X42" i="9"/>
  <c r="X41" i="9"/>
  <c r="X40" i="9"/>
  <c r="X39" i="9"/>
  <c r="X38" i="9"/>
  <c r="X37" i="9"/>
  <c r="X36" i="9"/>
  <c r="X35" i="9"/>
  <c r="X34" i="9"/>
  <c r="X33" i="9"/>
  <c r="X32" i="9"/>
  <c r="X29" i="9"/>
  <c r="X27" i="9"/>
  <c r="X26" i="9"/>
  <c r="X25" i="9"/>
  <c r="X24" i="9"/>
  <c r="X22" i="9"/>
  <c r="X19" i="9"/>
  <c r="X18" i="9"/>
  <c r="X17" i="9"/>
  <c r="X12" i="9"/>
  <c r="X11" i="9"/>
  <c r="X10" i="9"/>
  <c r="X9" i="9"/>
  <c r="X8" i="9"/>
  <c r="X7" i="9"/>
  <c r="X6" i="9"/>
  <c r="X5" i="9"/>
  <c r="U340" i="9" l="1"/>
  <c r="X340" i="9" s="1"/>
  <c r="R51" i="9" l="1"/>
  <c r="U49" i="9"/>
  <c r="R49" i="9"/>
  <c r="X49" i="9" l="1"/>
  <c r="X198" i="9"/>
  <c r="I7" i="13" l="1"/>
  <c r="I8" i="13"/>
  <c r="I9" i="13"/>
  <c r="I10" i="13"/>
  <c r="I11" i="13"/>
  <c r="I12" i="13"/>
  <c r="I13" i="13"/>
  <c r="I14" i="13"/>
  <c r="I15" i="13"/>
  <c r="I16" i="13"/>
  <c r="I17" i="13"/>
  <c r="I18" i="13"/>
  <c r="I19" i="13"/>
  <c r="I20" i="13"/>
  <c r="I21" i="13"/>
  <c r="I22" i="13"/>
  <c r="I23" i="13"/>
  <c r="I24" i="13"/>
  <c r="I26" i="13"/>
  <c r="I27" i="13"/>
  <c r="I28" i="13"/>
  <c r="I29" i="13"/>
  <c r="I30" i="13"/>
  <c r="I31" i="13"/>
  <c r="I32" i="13"/>
  <c r="I33" i="13"/>
  <c r="I34" i="13"/>
  <c r="I35" i="13"/>
  <c r="I36" i="13"/>
  <c r="I37" i="13"/>
  <c r="I38" i="13"/>
  <c r="I39" i="13"/>
  <c r="I40" i="13"/>
  <c r="I41" i="13"/>
  <c r="I42" i="13"/>
  <c r="I43" i="13"/>
  <c r="I44" i="13"/>
  <c r="I45" i="13"/>
  <c r="I46" i="13"/>
  <c r="I47" i="13"/>
  <c r="I48"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6" i="13"/>
  <c r="R158" i="9" l="1"/>
  <c r="X158" i="9" s="1"/>
  <c r="X51" i="9" l="1"/>
  <c r="I53" i="9"/>
  <c r="L341" i="9"/>
  <c r="X341" i="9" s="1"/>
  <c r="I133" i="9"/>
  <c r="L134" i="9"/>
  <c r="X134" i="9" s="1"/>
  <c r="I327" i="9"/>
  <c r="X327" i="9" s="1"/>
  <c r="L309" i="9"/>
  <c r="X309" i="9" s="1"/>
  <c r="U310" i="9"/>
  <c r="R310" i="9"/>
  <c r="R309" i="9"/>
  <c r="L217" i="9"/>
  <c r="AB311" i="9"/>
  <c r="V311" i="9" s="1"/>
  <c r="AB312" i="9"/>
  <c r="V312" i="9" s="1"/>
  <c r="AB313" i="9"/>
  <c r="V313" i="9" s="1"/>
  <c r="AB314" i="9"/>
  <c r="AB315" i="9"/>
  <c r="V315" i="9" s="1"/>
  <c r="AB316" i="9"/>
  <c r="V316" i="9" s="1"/>
  <c r="AB317" i="9"/>
  <c r="V317" i="9" s="1"/>
  <c r="AB318" i="9"/>
  <c r="V318" i="9" s="1"/>
  <c r="AB319" i="9"/>
  <c r="V319" i="9" s="1"/>
  <c r="AB320" i="9"/>
  <c r="V320" i="9" s="1"/>
  <c r="AB321" i="9"/>
  <c r="V321" i="9" s="1"/>
  <c r="AB322" i="9"/>
  <c r="AB323" i="9"/>
  <c r="V323" i="9" s="1"/>
  <c r="AB324" i="9"/>
  <c r="V324" i="9" s="1"/>
  <c r="AB325" i="9"/>
  <c r="V325" i="9" s="1"/>
  <c r="AB326" i="9"/>
  <c r="V326" i="9" s="1"/>
  <c r="AB328" i="9"/>
  <c r="V328" i="9" s="1"/>
  <c r="AB329" i="9"/>
  <c r="V329" i="9" s="1"/>
  <c r="AB330" i="9"/>
  <c r="AB331" i="9"/>
  <c r="V331" i="9" s="1"/>
  <c r="AB332" i="9"/>
  <c r="V332" i="9" s="1"/>
  <c r="AB333" i="9"/>
  <c r="V333" i="9" s="1"/>
  <c r="AB334" i="9"/>
  <c r="V334" i="9" s="1"/>
  <c r="AB335" i="9"/>
  <c r="V335" i="9" s="1"/>
  <c r="AB336" i="9"/>
  <c r="V336" i="9" s="1"/>
  <c r="AB337" i="9"/>
  <c r="V337" i="9" s="1"/>
  <c r="AB338" i="9"/>
  <c r="AB339" i="9"/>
  <c r="V339" i="9" s="1"/>
  <c r="AB342" i="9"/>
  <c r="V342" i="9" s="1"/>
  <c r="AB343" i="9"/>
  <c r="V343" i="9" s="1"/>
  <c r="AB344" i="9"/>
  <c r="V344" i="9" s="1"/>
  <c r="AB345" i="9"/>
  <c r="V345" i="9" s="1"/>
  <c r="AB346" i="9"/>
  <c r="AB347" i="9"/>
  <c r="V347" i="9" s="1"/>
  <c r="AB348" i="9"/>
  <c r="V348" i="9" s="1"/>
  <c r="AB349" i="9"/>
  <c r="V349" i="9" s="1"/>
  <c r="AB350" i="9"/>
  <c r="V350" i="9" s="1"/>
  <c r="AA311" i="9"/>
  <c r="AA312" i="9"/>
  <c r="AA313" i="9"/>
  <c r="AA314" i="9"/>
  <c r="AA315" i="9"/>
  <c r="AA316" i="9"/>
  <c r="AA317" i="9"/>
  <c r="AA318" i="9"/>
  <c r="AA319" i="9"/>
  <c r="AA320" i="9"/>
  <c r="AA321" i="9"/>
  <c r="AA322" i="9"/>
  <c r="AA323" i="9"/>
  <c r="AA324" i="9"/>
  <c r="AA325" i="9"/>
  <c r="AA326" i="9"/>
  <c r="AA328" i="9"/>
  <c r="AA329" i="9"/>
  <c r="AA330" i="9"/>
  <c r="AA331" i="9"/>
  <c r="AA332" i="9"/>
  <c r="AA333" i="9"/>
  <c r="AA334" i="9"/>
  <c r="AA335" i="9"/>
  <c r="AA336" i="9"/>
  <c r="AA337" i="9"/>
  <c r="AA338" i="9"/>
  <c r="AA339" i="9"/>
  <c r="AA340" i="9"/>
  <c r="AA342" i="9"/>
  <c r="AA343" i="9"/>
  <c r="AA344" i="9"/>
  <c r="AA345" i="9"/>
  <c r="AA346" i="9"/>
  <c r="AA347" i="9"/>
  <c r="AA348" i="9"/>
  <c r="AA349" i="9"/>
  <c r="AA350" i="9"/>
  <c r="Z311" i="9"/>
  <c r="Z312" i="9"/>
  <c r="Z313" i="9"/>
  <c r="Z314" i="9"/>
  <c r="Z315" i="9"/>
  <c r="Z316" i="9"/>
  <c r="Z317" i="9"/>
  <c r="Z318" i="9"/>
  <c r="Z319" i="9"/>
  <c r="Z320" i="9"/>
  <c r="Z321" i="9"/>
  <c r="Z322" i="9"/>
  <c r="Z323" i="9"/>
  <c r="Z324" i="9"/>
  <c r="Z325" i="9"/>
  <c r="Z326" i="9"/>
  <c r="Z328" i="9"/>
  <c r="Z329" i="9"/>
  <c r="Z330" i="9"/>
  <c r="Z331" i="9"/>
  <c r="Z332" i="9"/>
  <c r="Z333" i="9"/>
  <c r="Z334" i="9"/>
  <c r="Z335" i="9"/>
  <c r="Z336" i="9"/>
  <c r="Z337" i="9"/>
  <c r="Z338" i="9"/>
  <c r="Z339" i="9"/>
  <c r="Z340" i="9"/>
  <c r="Z342" i="9"/>
  <c r="Z343" i="9"/>
  <c r="Z344" i="9"/>
  <c r="Z345" i="9"/>
  <c r="Z346" i="9"/>
  <c r="Z347" i="9"/>
  <c r="Z348" i="9"/>
  <c r="Z349" i="9"/>
  <c r="Z350" i="9"/>
  <c r="AB6" i="9"/>
  <c r="AB7" i="9"/>
  <c r="V7" i="9" s="1"/>
  <c r="AB8" i="9"/>
  <c r="V8" i="9" s="1"/>
  <c r="AB9" i="9"/>
  <c r="V9" i="9" s="1"/>
  <c r="AB10" i="9"/>
  <c r="V10" i="9" s="1"/>
  <c r="AB11" i="9"/>
  <c r="AB12" i="9"/>
  <c r="V12" i="9" s="1"/>
  <c r="AB17" i="9"/>
  <c r="V17" i="9" s="1"/>
  <c r="AB18" i="9"/>
  <c r="V18" i="9" s="1"/>
  <c r="AB19" i="9"/>
  <c r="V19" i="9" s="1"/>
  <c r="AB22" i="9"/>
  <c r="V22" i="9" s="1"/>
  <c r="AB24" i="9"/>
  <c r="V24" i="9" s="1"/>
  <c r="AB25" i="9"/>
  <c r="V25" i="9" s="1"/>
  <c r="AB26" i="9"/>
  <c r="V26" i="9" s="1"/>
  <c r="AB27" i="9"/>
  <c r="V27" i="9" s="1"/>
  <c r="AB29" i="9"/>
  <c r="V29" i="9" s="1"/>
  <c r="AB32" i="9"/>
  <c r="AB33" i="9"/>
  <c r="V33" i="9" s="1"/>
  <c r="AB34" i="9"/>
  <c r="V34" i="9" s="1"/>
  <c r="AB35" i="9"/>
  <c r="V35" i="9" s="1"/>
  <c r="AB36" i="9"/>
  <c r="V36" i="9" s="1"/>
  <c r="AB37" i="9"/>
  <c r="V37" i="9" s="1"/>
  <c r="AB38" i="9"/>
  <c r="V38" i="9" s="1"/>
  <c r="AB39" i="9"/>
  <c r="V39" i="9" s="1"/>
  <c r="AB40" i="9"/>
  <c r="V40" i="9" s="1"/>
  <c r="AB41" i="9"/>
  <c r="V41" i="9" s="1"/>
  <c r="AB42" i="9"/>
  <c r="V42" i="9" s="1"/>
  <c r="AB43" i="9"/>
  <c r="V43" i="9" s="1"/>
  <c r="AB44" i="9"/>
  <c r="V44" i="9" s="1"/>
  <c r="AB45" i="9"/>
  <c r="V45" i="9" s="1"/>
  <c r="AB46" i="9"/>
  <c r="V46" i="9" s="1"/>
  <c r="AB47" i="9"/>
  <c r="V47" i="9" s="1"/>
  <c r="AB48" i="9"/>
  <c r="V48" i="9" s="1"/>
  <c r="AB52" i="9"/>
  <c r="V52" i="9" s="1"/>
  <c r="AB54" i="9"/>
  <c r="V54" i="9" s="1"/>
  <c r="AB55" i="9"/>
  <c r="V55" i="9" s="1"/>
  <c r="AB56" i="9"/>
  <c r="V56" i="9" s="1"/>
  <c r="AB57" i="9"/>
  <c r="V57" i="9" s="1"/>
  <c r="AB58" i="9"/>
  <c r="V58" i="9" s="1"/>
  <c r="AB59" i="9"/>
  <c r="V59" i="9" s="1"/>
  <c r="AB60" i="9"/>
  <c r="V60" i="9" s="1"/>
  <c r="AB61" i="9"/>
  <c r="V61" i="9" s="1"/>
  <c r="AB62" i="9"/>
  <c r="V62" i="9" s="1"/>
  <c r="AB64" i="9"/>
  <c r="V64" i="9" s="1"/>
  <c r="AB65" i="9"/>
  <c r="V65" i="9" s="1"/>
  <c r="AB66" i="9"/>
  <c r="V66" i="9" s="1"/>
  <c r="AB67" i="9"/>
  <c r="V67" i="9" s="1"/>
  <c r="AB68" i="9"/>
  <c r="V68" i="9" s="1"/>
  <c r="AB69" i="9"/>
  <c r="V69" i="9" s="1"/>
  <c r="AB72" i="9"/>
  <c r="V72" i="9" s="1"/>
  <c r="AB73" i="9"/>
  <c r="V73" i="9" s="1"/>
  <c r="AB74" i="9"/>
  <c r="V74" i="9" s="1"/>
  <c r="AB75" i="9"/>
  <c r="V75" i="9" s="1"/>
  <c r="AB76" i="9"/>
  <c r="V76" i="9" s="1"/>
  <c r="AB77" i="9"/>
  <c r="V77" i="9" s="1"/>
  <c r="AB78" i="9"/>
  <c r="V78" i="9" s="1"/>
  <c r="AB79" i="9"/>
  <c r="V79" i="9" s="1"/>
  <c r="AB80" i="9"/>
  <c r="V80" i="9" s="1"/>
  <c r="AB81" i="9"/>
  <c r="V81" i="9" s="1"/>
  <c r="AB82" i="9"/>
  <c r="V82" i="9" s="1"/>
  <c r="AB83" i="9"/>
  <c r="V83" i="9" s="1"/>
  <c r="AB84" i="9"/>
  <c r="V84" i="9" s="1"/>
  <c r="AB85" i="9"/>
  <c r="V85" i="9" s="1"/>
  <c r="AB86" i="9"/>
  <c r="V86" i="9" s="1"/>
  <c r="AB87" i="9"/>
  <c r="V87" i="9" s="1"/>
  <c r="AB88" i="9"/>
  <c r="V88" i="9" s="1"/>
  <c r="AB89" i="9"/>
  <c r="V89" i="9" s="1"/>
  <c r="AB90" i="9"/>
  <c r="V90" i="9" s="1"/>
  <c r="AB93" i="9"/>
  <c r="V93" i="9" s="1"/>
  <c r="AB95" i="9"/>
  <c r="V95" i="9" s="1"/>
  <c r="AB96" i="9"/>
  <c r="V96" i="9" s="1"/>
  <c r="AB97" i="9"/>
  <c r="V97" i="9" s="1"/>
  <c r="AB98" i="9"/>
  <c r="V98" i="9" s="1"/>
  <c r="AB99" i="9"/>
  <c r="V99" i="9" s="1"/>
  <c r="AB100" i="9"/>
  <c r="V100" i="9" s="1"/>
  <c r="AB101" i="9"/>
  <c r="V101" i="9" s="1"/>
  <c r="AB102" i="9"/>
  <c r="V102" i="9" s="1"/>
  <c r="AB104" i="9"/>
  <c r="V104" i="9" s="1"/>
  <c r="AB105" i="9"/>
  <c r="V105" i="9" s="1"/>
  <c r="AB106" i="9"/>
  <c r="V106" i="9" s="1"/>
  <c r="AB107" i="9"/>
  <c r="V107" i="9" s="1"/>
  <c r="AB109" i="9"/>
  <c r="V109" i="9" s="1"/>
  <c r="AB114" i="9"/>
  <c r="V114" i="9" s="1"/>
  <c r="AB119" i="9"/>
  <c r="V119" i="9" s="1"/>
  <c r="AB120" i="9"/>
  <c r="V120" i="9" s="1"/>
  <c r="AB121" i="9"/>
  <c r="V121" i="9" s="1"/>
  <c r="AB122" i="9"/>
  <c r="V122" i="9" s="1"/>
  <c r="AB123" i="9"/>
  <c r="V123" i="9" s="1"/>
  <c r="AB124" i="9"/>
  <c r="V124" i="9" s="1"/>
  <c r="AB125" i="9"/>
  <c r="V125" i="9" s="1"/>
  <c r="AB126" i="9"/>
  <c r="V126" i="9" s="1"/>
  <c r="AB127" i="9"/>
  <c r="V127" i="9" s="1"/>
  <c r="AB128" i="9"/>
  <c r="V128" i="9" s="1"/>
  <c r="AB129" i="9"/>
  <c r="V129" i="9" s="1"/>
  <c r="AB139" i="9"/>
  <c r="V139" i="9" s="1"/>
  <c r="AB140" i="9"/>
  <c r="V140" i="9" s="1"/>
  <c r="AB141" i="9"/>
  <c r="V141" i="9" s="1"/>
  <c r="AB142" i="9"/>
  <c r="V142" i="9" s="1"/>
  <c r="AB143" i="9"/>
  <c r="V143" i="9" s="1"/>
  <c r="AB144" i="9"/>
  <c r="V144" i="9" s="1"/>
  <c r="AB145" i="9"/>
  <c r="V145" i="9" s="1"/>
  <c r="AB146" i="9"/>
  <c r="V146" i="9" s="1"/>
  <c r="AB147" i="9"/>
  <c r="V147" i="9" s="1"/>
  <c r="AB149" i="9"/>
  <c r="V149" i="9" s="1"/>
  <c r="AB150" i="9"/>
  <c r="V150" i="9" s="1"/>
  <c r="AB151" i="9"/>
  <c r="V151" i="9" s="1"/>
  <c r="AB152" i="9"/>
  <c r="V152" i="9" s="1"/>
  <c r="AB153" i="9"/>
  <c r="V153" i="9" s="1"/>
  <c r="AB154" i="9"/>
  <c r="V154" i="9" s="1"/>
  <c r="AB155" i="9"/>
  <c r="V155" i="9" s="1"/>
  <c r="AB156" i="9"/>
  <c r="V156" i="9" s="1"/>
  <c r="AB157" i="9"/>
  <c r="V157" i="9" s="1"/>
  <c r="AB158" i="9"/>
  <c r="V158" i="9" s="1"/>
  <c r="AB159" i="9"/>
  <c r="V159" i="9" s="1"/>
  <c r="AB161" i="9"/>
  <c r="V161" i="9" s="1"/>
  <c r="AB163" i="9"/>
  <c r="V163" i="9" s="1"/>
  <c r="AB165" i="9"/>
  <c r="V165" i="9" s="1"/>
  <c r="AB166" i="9"/>
  <c r="V166" i="9" s="1"/>
  <c r="AB167" i="9"/>
  <c r="V167" i="9" s="1"/>
  <c r="AB168" i="9"/>
  <c r="V168" i="9" s="1"/>
  <c r="AB169" i="9"/>
  <c r="V169" i="9" s="1"/>
  <c r="AB170" i="9"/>
  <c r="V170" i="9" s="1"/>
  <c r="AB171" i="9"/>
  <c r="V171" i="9" s="1"/>
  <c r="AB172" i="9"/>
  <c r="V172" i="9" s="1"/>
  <c r="AB173" i="9"/>
  <c r="V173" i="9" s="1"/>
  <c r="AB174" i="9"/>
  <c r="V174" i="9" s="1"/>
  <c r="AB175" i="9"/>
  <c r="V175" i="9" s="1"/>
  <c r="AB176" i="9"/>
  <c r="V176" i="9" s="1"/>
  <c r="AB177" i="9"/>
  <c r="V177" i="9" s="1"/>
  <c r="AB178" i="9"/>
  <c r="V178" i="9" s="1"/>
  <c r="AB179" i="9"/>
  <c r="V179" i="9" s="1"/>
  <c r="AB180" i="9"/>
  <c r="V180" i="9" s="1"/>
  <c r="AB181" i="9"/>
  <c r="V181" i="9" s="1"/>
  <c r="AB182" i="9"/>
  <c r="V182" i="9" s="1"/>
  <c r="AB183" i="9"/>
  <c r="V183" i="9" s="1"/>
  <c r="AB184" i="9"/>
  <c r="V184" i="9" s="1"/>
  <c r="AB185" i="9"/>
  <c r="V185" i="9" s="1"/>
  <c r="AB186" i="9"/>
  <c r="V186" i="9" s="1"/>
  <c r="AB187" i="9"/>
  <c r="V187" i="9" s="1"/>
  <c r="AB188" i="9"/>
  <c r="V188" i="9" s="1"/>
  <c r="AB189" i="9"/>
  <c r="V189" i="9" s="1"/>
  <c r="AB190" i="9"/>
  <c r="V190" i="9" s="1"/>
  <c r="AB191" i="9"/>
  <c r="V191" i="9" s="1"/>
  <c r="AB192" i="9"/>
  <c r="V192" i="9" s="1"/>
  <c r="AB193" i="9"/>
  <c r="V193" i="9" s="1"/>
  <c r="AB196" i="9"/>
  <c r="V196" i="9" s="1"/>
  <c r="AB197" i="9"/>
  <c r="V197" i="9" s="1"/>
  <c r="AB198" i="9"/>
  <c r="V198" i="9" s="1"/>
  <c r="AB199" i="9"/>
  <c r="V199" i="9" s="1"/>
  <c r="AB200" i="9"/>
  <c r="V200" i="9" s="1"/>
  <c r="AB201" i="9"/>
  <c r="V201" i="9" s="1"/>
  <c r="AB202" i="9"/>
  <c r="V202" i="9" s="1"/>
  <c r="AB203" i="9"/>
  <c r="V203" i="9" s="1"/>
  <c r="AB204" i="9"/>
  <c r="V204" i="9" s="1"/>
  <c r="AB205" i="9"/>
  <c r="V205" i="9" s="1"/>
  <c r="AB206" i="9"/>
  <c r="V206" i="9" s="1"/>
  <c r="AB207" i="9"/>
  <c r="V207" i="9" s="1"/>
  <c r="AB208" i="9"/>
  <c r="V208" i="9" s="1"/>
  <c r="AB209" i="9"/>
  <c r="V209" i="9" s="1"/>
  <c r="AB210" i="9"/>
  <c r="V210" i="9" s="1"/>
  <c r="AB211" i="9"/>
  <c r="V211" i="9" s="1"/>
  <c r="AB212" i="9"/>
  <c r="V212" i="9" s="1"/>
  <c r="AB213" i="9"/>
  <c r="V213" i="9" s="1"/>
  <c r="AB214" i="9"/>
  <c r="V214" i="9" s="1"/>
  <c r="AB215" i="9"/>
  <c r="V215" i="9" s="1"/>
  <c r="AB220" i="9"/>
  <c r="V220" i="9" s="1"/>
  <c r="AB221" i="9"/>
  <c r="V221" i="9" s="1"/>
  <c r="AB223" i="9"/>
  <c r="V223" i="9" s="1"/>
  <c r="AB224" i="9"/>
  <c r="V224" i="9" s="1"/>
  <c r="AB225" i="9"/>
  <c r="V225" i="9" s="1"/>
  <c r="AB226" i="9"/>
  <c r="V226" i="9" s="1"/>
  <c r="AB227" i="9"/>
  <c r="V227" i="9" s="1"/>
  <c r="AB228" i="9"/>
  <c r="V228" i="9" s="1"/>
  <c r="AB229" i="9"/>
  <c r="V229" i="9" s="1"/>
  <c r="AB230" i="9"/>
  <c r="V230" i="9" s="1"/>
  <c r="AB231" i="9"/>
  <c r="V231" i="9" s="1"/>
  <c r="AB232" i="9"/>
  <c r="V232" i="9" s="1"/>
  <c r="AB233" i="9"/>
  <c r="V233" i="9" s="1"/>
  <c r="AB234" i="9"/>
  <c r="V234" i="9" s="1"/>
  <c r="AB235" i="9"/>
  <c r="V235" i="9" s="1"/>
  <c r="AB236" i="9"/>
  <c r="V236" i="9" s="1"/>
  <c r="AB237" i="9"/>
  <c r="V237" i="9" s="1"/>
  <c r="AB238" i="9"/>
  <c r="V238" i="9" s="1"/>
  <c r="AB239" i="9"/>
  <c r="V239" i="9" s="1"/>
  <c r="AB240" i="9"/>
  <c r="V240" i="9" s="1"/>
  <c r="AB241" i="9"/>
  <c r="V241" i="9" s="1"/>
  <c r="AB242" i="9"/>
  <c r="V242" i="9" s="1"/>
  <c r="AB243" i="9"/>
  <c r="V243" i="9" s="1"/>
  <c r="AB244" i="9"/>
  <c r="V244" i="9" s="1"/>
  <c r="AB245" i="9"/>
  <c r="V245" i="9" s="1"/>
  <c r="AB246" i="9"/>
  <c r="V246" i="9" s="1"/>
  <c r="AB247" i="9"/>
  <c r="V247" i="9" s="1"/>
  <c r="AB248" i="9"/>
  <c r="V248" i="9" s="1"/>
  <c r="AB249" i="9"/>
  <c r="V249" i="9" s="1"/>
  <c r="AB250" i="9"/>
  <c r="V250" i="9" s="1"/>
  <c r="AB251" i="9"/>
  <c r="V251" i="9" s="1"/>
  <c r="AB252" i="9"/>
  <c r="V252" i="9" s="1"/>
  <c r="AB253" i="9"/>
  <c r="V253" i="9" s="1"/>
  <c r="AB254" i="9"/>
  <c r="V254" i="9" s="1"/>
  <c r="AB255" i="9"/>
  <c r="V255" i="9" s="1"/>
  <c r="AB256" i="9"/>
  <c r="V256" i="9" s="1"/>
  <c r="AB257" i="9"/>
  <c r="V257" i="9" s="1"/>
  <c r="AB258" i="9"/>
  <c r="V258" i="9" s="1"/>
  <c r="AB259" i="9"/>
  <c r="V259" i="9" s="1"/>
  <c r="AB260" i="9"/>
  <c r="V260" i="9" s="1"/>
  <c r="AB261" i="9"/>
  <c r="V261" i="9" s="1"/>
  <c r="AB262" i="9"/>
  <c r="V262" i="9" s="1"/>
  <c r="AB264" i="9"/>
  <c r="V264" i="9" s="1"/>
  <c r="AB265" i="9"/>
  <c r="V265" i="9" s="1"/>
  <c r="AB266" i="9"/>
  <c r="V266" i="9" s="1"/>
  <c r="AB267" i="9"/>
  <c r="V267" i="9" s="1"/>
  <c r="AB268" i="9"/>
  <c r="V268" i="9" s="1"/>
  <c r="AB269" i="9"/>
  <c r="V269" i="9" s="1"/>
  <c r="AB270" i="9"/>
  <c r="V270" i="9" s="1"/>
  <c r="AB273" i="9"/>
  <c r="V273" i="9" s="1"/>
  <c r="AB274" i="9"/>
  <c r="V274" i="9" s="1"/>
  <c r="AB275" i="9"/>
  <c r="AB278" i="9"/>
  <c r="V278" i="9" s="1"/>
  <c r="AB279" i="9"/>
  <c r="V279" i="9" s="1"/>
  <c r="AB280" i="9"/>
  <c r="V280" i="9" s="1"/>
  <c r="AB281" i="9"/>
  <c r="V281" i="9" s="1"/>
  <c r="AB282" i="9"/>
  <c r="V282" i="9" s="1"/>
  <c r="AB283" i="9"/>
  <c r="V283" i="9" s="1"/>
  <c r="AB284" i="9"/>
  <c r="V284" i="9" s="1"/>
  <c r="AB285" i="9"/>
  <c r="V285" i="9" s="1"/>
  <c r="AB286" i="9"/>
  <c r="V286" i="9" s="1"/>
  <c r="AB287" i="9"/>
  <c r="V287" i="9" s="1"/>
  <c r="AB288" i="9"/>
  <c r="V288" i="9" s="1"/>
  <c r="AB289" i="9"/>
  <c r="V289" i="9" s="1"/>
  <c r="AB290" i="9"/>
  <c r="V290" i="9" s="1"/>
  <c r="AB291" i="9"/>
  <c r="V291" i="9" s="1"/>
  <c r="AB292" i="9"/>
  <c r="V292" i="9" s="1"/>
  <c r="AB294" i="9"/>
  <c r="V294" i="9" s="1"/>
  <c r="AB297" i="9"/>
  <c r="V297" i="9" s="1"/>
  <c r="AB298" i="9"/>
  <c r="V298" i="9" s="1"/>
  <c r="AB299" i="9"/>
  <c r="V299" i="9" s="1"/>
  <c r="AB300" i="9"/>
  <c r="V300" i="9" s="1"/>
  <c r="AB301" i="9"/>
  <c r="V301" i="9" s="1"/>
  <c r="AB302" i="9"/>
  <c r="V302" i="9" s="1"/>
  <c r="AB303" i="9"/>
  <c r="V303" i="9" s="1"/>
  <c r="AB304" i="9"/>
  <c r="V304" i="9" s="1"/>
  <c r="AB305" i="9"/>
  <c r="V305" i="9" s="1"/>
  <c r="AB306" i="9"/>
  <c r="V306" i="9" s="1"/>
  <c r="AB307" i="9"/>
  <c r="V307" i="9" s="1"/>
  <c r="AB308" i="9"/>
  <c r="V308" i="9" s="1"/>
  <c r="AA6" i="9"/>
  <c r="AA7" i="9"/>
  <c r="AA8" i="9"/>
  <c r="AA9" i="9"/>
  <c r="AA10" i="9"/>
  <c r="AA11" i="9"/>
  <c r="AA12" i="9"/>
  <c r="AA17" i="9"/>
  <c r="AA18" i="9"/>
  <c r="AA19" i="9"/>
  <c r="AA22" i="9"/>
  <c r="AA24" i="9"/>
  <c r="AA25" i="9"/>
  <c r="AA26" i="9"/>
  <c r="AA27" i="9"/>
  <c r="AA29" i="9"/>
  <c r="AA32" i="9"/>
  <c r="AA33" i="9"/>
  <c r="AA34" i="9"/>
  <c r="AA35" i="9"/>
  <c r="AA36" i="9"/>
  <c r="AA37" i="9"/>
  <c r="AA38" i="9"/>
  <c r="AA39" i="9"/>
  <c r="AA40" i="9"/>
  <c r="AA41" i="9"/>
  <c r="AA42" i="9"/>
  <c r="AA43" i="9"/>
  <c r="AA44" i="9"/>
  <c r="AA45" i="9"/>
  <c r="AA46" i="9"/>
  <c r="AA47" i="9"/>
  <c r="AA48" i="9"/>
  <c r="AA52" i="9"/>
  <c r="AA54" i="9"/>
  <c r="AA55" i="9"/>
  <c r="AA56" i="9"/>
  <c r="AA57" i="9"/>
  <c r="AA58" i="9"/>
  <c r="AA59" i="9"/>
  <c r="AA60" i="9"/>
  <c r="AA61" i="9"/>
  <c r="AA62" i="9"/>
  <c r="AA64" i="9"/>
  <c r="AA65" i="9"/>
  <c r="AA66" i="9"/>
  <c r="AA67" i="9"/>
  <c r="AA68" i="9"/>
  <c r="AA69" i="9"/>
  <c r="AA72" i="9"/>
  <c r="AA73" i="9"/>
  <c r="AA74" i="9"/>
  <c r="AA75" i="9"/>
  <c r="AA76" i="9"/>
  <c r="AA77" i="9"/>
  <c r="AA78" i="9"/>
  <c r="AA79" i="9"/>
  <c r="AA80" i="9"/>
  <c r="AA81" i="9"/>
  <c r="AA82" i="9"/>
  <c r="AA83" i="9"/>
  <c r="AA84" i="9"/>
  <c r="AA85" i="9"/>
  <c r="AA86" i="9"/>
  <c r="AA87" i="9"/>
  <c r="AA88" i="9"/>
  <c r="AA89" i="9"/>
  <c r="AA90" i="9"/>
  <c r="AA93" i="9"/>
  <c r="AA95" i="9"/>
  <c r="AA96" i="9"/>
  <c r="AA97" i="9"/>
  <c r="AA98" i="9"/>
  <c r="AA99" i="9"/>
  <c r="AA100" i="9"/>
  <c r="AA101" i="9"/>
  <c r="AA102" i="9"/>
  <c r="AA104" i="9"/>
  <c r="AA105" i="9"/>
  <c r="AA106" i="9"/>
  <c r="AA107" i="9"/>
  <c r="AA109" i="9"/>
  <c r="AA114" i="9"/>
  <c r="AA119" i="9"/>
  <c r="AA120" i="9"/>
  <c r="AA121" i="9"/>
  <c r="AA122" i="9"/>
  <c r="AA123" i="9"/>
  <c r="AA124" i="9"/>
  <c r="AA125" i="9"/>
  <c r="AA126" i="9"/>
  <c r="AA127" i="9"/>
  <c r="AA128" i="9"/>
  <c r="AA129" i="9"/>
  <c r="AA139" i="9"/>
  <c r="AA140" i="9"/>
  <c r="AA141" i="9"/>
  <c r="AA142" i="9"/>
  <c r="AA143" i="9"/>
  <c r="AA144" i="9"/>
  <c r="AA145" i="9"/>
  <c r="AA146" i="9"/>
  <c r="AA147" i="9"/>
  <c r="AA149" i="9"/>
  <c r="AA150" i="9"/>
  <c r="AA151" i="9"/>
  <c r="AA152" i="9"/>
  <c r="AA153" i="9"/>
  <c r="AA154" i="9"/>
  <c r="AA155" i="9"/>
  <c r="AA156" i="9"/>
  <c r="AA157" i="9"/>
  <c r="AA158" i="9"/>
  <c r="AA159" i="9"/>
  <c r="AA161" i="9"/>
  <c r="AA163"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6" i="9"/>
  <c r="AA197" i="9"/>
  <c r="AA198" i="9"/>
  <c r="AA199" i="9"/>
  <c r="AA200" i="9"/>
  <c r="AA201" i="9"/>
  <c r="AA202" i="9"/>
  <c r="AA203" i="9"/>
  <c r="AA204" i="9"/>
  <c r="AA205" i="9"/>
  <c r="AA206" i="9"/>
  <c r="AA207" i="9"/>
  <c r="AA208" i="9"/>
  <c r="AA209" i="9"/>
  <c r="AA210" i="9"/>
  <c r="AA211" i="9"/>
  <c r="AA212" i="9"/>
  <c r="AA213" i="9"/>
  <c r="AA214" i="9"/>
  <c r="AA215" i="9"/>
  <c r="AA220" i="9"/>
  <c r="AA221"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4" i="9"/>
  <c r="AA265" i="9"/>
  <c r="AA266" i="9"/>
  <c r="AA267" i="9"/>
  <c r="AA268" i="9"/>
  <c r="AA269" i="9"/>
  <c r="AA270" i="9"/>
  <c r="AA273" i="9"/>
  <c r="AA274" i="9"/>
  <c r="AA275" i="9"/>
  <c r="AA278" i="9"/>
  <c r="AA279" i="9"/>
  <c r="AA280" i="9"/>
  <c r="AA281" i="9"/>
  <c r="AA282" i="9"/>
  <c r="AA283" i="9"/>
  <c r="AA284" i="9"/>
  <c r="AA285" i="9"/>
  <c r="AA286" i="9"/>
  <c r="AA287" i="9"/>
  <c r="AA288" i="9"/>
  <c r="AA289" i="9"/>
  <c r="AA290" i="9"/>
  <c r="AA291" i="9"/>
  <c r="AA292" i="9"/>
  <c r="AA294" i="9"/>
  <c r="AA297" i="9"/>
  <c r="AA298" i="9"/>
  <c r="AA299" i="9"/>
  <c r="AA300" i="9"/>
  <c r="AA301" i="9"/>
  <c r="AA302" i="9"/>
  <c r="AA303" i="9"/>
  <c r="AA304" i="9"/>
  <c r="AA305" i="9"/>
  <c r="AA306" i="9"/>
  <c r="AA307" i="9"/>
  <c r="AA308" i="9"/>
  <c r="Z6" i="9"/>
  <c r="Z7" i="9"/>
  <c r="Z8" i="9"/>
  <c r="Z9" i="9"/>
  <c r="Z10" i="9"/>
  <c r="Z11" i="9"/>
  <c r="Z12" i="9"/>
  <c r="Z17" i="9"/>
  <c r="Z18" i="9"/>
  <c r="Z19" i="9"/>
  <c r="Z22" i="9"/>
  <c r="Z24" i="9"/>
  <c r="Z25" i="9"/>
  <c r="Z26" i="9"/>
  <c r="Z27" i="9"/>
  <c r="Z29" i="9"/>
  <c r="Z32" i="9"/>
  <c r="Z33" i="9"/>
  <c r="Z34" i="9"/>
  <c r="Z35" i="9"/>
  <c r="Z36" i="9"/>
  <c r="Z37" i="9"/>
  <c r="Z38" i="9"/>
  <c r="Z39" i="9"/>
  <c r="Z40" i="9"/>
  <c r="Z41" i="9"/>
  <c r="Z42" i="9"/>
  <c r="Z43" i="9"/>
  <c r="Z44" i="9"/>
  <c r="Z45" i="9"/>
  <c r="Z46" i="9"/>
  <c r="Z47" i="9"/>
  <c r="Z48" i="9"/>
  <c r="Z52" i="9"/>
  <c r="Z54" i="9"/>
  <c r="Z55" i="9"/>
  <c r="Z56" i="9"/>
  <c r="Z57" i="9"/>
  <c r="Z58" i="9"/>
  <c r="Z59" i="9"/>
  <c r="Z60" i="9"/>
  <c r="Z61" i="9"/>
  <c r="Z62" i="9"/>
  <c r="Z64" i="9"/>
  <c r="Z65" i="9"/>
  <c r="Z66" i="9"/>
  <c r="Z67" i="9"/>
  <c r="Z68" i="9"/>
  <c r="Z69" i="9"/>
  <c r="Z72" i="9"/>
  <c r="Z73" i="9"/>
  <c r="Z74" i="9"/>
  <c r="Z75" i="9"/>
  <c r="Z76" i="9"/>
  <c r="Z77" i="9"/>
  <c r="Z78" i="9"/>
  <c r="Z79" i="9"/>
  <c r="Z80" i="9"/>
  <c r="Z81" i="9"/>
  <c r="Z82" i="9"/>
  <c r="Z83" i="9"/>
  <c r="Z84" i="9"/>
  <c r="Z85" i="9"/>
  <c r="Z86" i="9"/>
  <c r="Z87" i="9"/>
  <c r="Z88" i="9"/>
  <c r="Z89" i="9"/>
  <c r="Z90" i="9"/>
  <c r="Z93" i="9"/>
  <c r="Z95" i="9"/>
  <c r="Z96" i="9"/>
  <c r="Z97" i="9"/>
  <c r="Z98" i="9"/>
  <c r="Z99" i="9"/>
  <c r="Z100" i="9"/>
  <c r="Z101" i="9"/>
  <c r="Z102" i="9"/>
  <c r="Z104" i="9"/>
  <c r="Z105" i="9"/>
  <c r="Z106" i="9"/>
  <c r="Z107" i="9"/>
  <c r="Z109" i="9"/>
  <c r="Z114" i="9"/>
  <c r="Z119" i="9"/>
  <c r="Z120" i="9"/>
  <c r="Z121" i="9"/>
  <c r="Z122" i="9"/>
  <c r="Z123" i="9"/>
  <c r="Z124" i="9"/>
  <c r="Z125" i="9"/>
  <c r="Z126" i="9"/>
  <c r="Z127" i="9"/>
  <c r="Z128" i="9"/>
  <c r="Z129" i="9"/>
  <c r="Z139" i="9"/>
  <c r="Z140" i="9"/>
  <c r="Z141" i="9"/>
  <c r="Z142" i="9"/>
  <c r="Z143" i="9"/>
  <c r="Z144" i="9"/>
  <c r="Z145" i="9"/>
  <c r="Z146" i="9"/>
  <c r="Z147" i="9"/>
  <c r="Z149" i="9"/>
  <c r="Z150" i="9"/>
  <c r="Z151" i="9"/>
  <c r="Z152" i="9"/>
  <c r="Z153" i="9"/>
  <c r="Z154" i="9"/>
  <c r="Z155" i="9"/>
  <c r="Z156" i="9"/>
  <c r="Z157" i="9"/>
  <c r="Z158" i="9"/>
  <c r="Z159" i="9"/>
  <c r="Z161" i="9"/>
  <c r="Z163"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6" i="9"/>
  <c r="Z197" i="9"/>
  <c r="Z198" i="9"/>
  <c r="Z199" i="9"/>
  <c r="Z200" i="9"/>
  <c r="Z201" i="9"/>
  <c r="Z202" i="9"/>
  <c r="Z203" i="9"/>
  <c r="Z204" i="9"/>
  <c r="Z205" i="9"/>
  <c r="Z206" i="9"/>
  <c r="Z207" i="9"/>
  <c r="Z208" i="9"/>
  <c r="Z209" i="9"/>
  <c r="Z210" i="9"/>
  <c r="Z211" i="9"/>
  <c r="Z212" i="9"/>
  <c r="Z213" i="9"/>
  <c r="Z214" i="9"/>
  <c r="Z215" i="9"/>
  <c r="Z220" i="9"/>
  <c r="Z221"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4" i="9"/>
  <c r="Z265" i="9"/>
  <c r="Z266" i="9"/>
  <c r="Z267" i="9"/>
  <c r="Z268" i="9"/>
  <c r="Z269" i="9"/>
  <c r="Z270" i="9"/>
  <c r="Z273" i="9"/>
  <c r="Z274" i="9"/>
  <c r="Z275" i="9"/>
  <c r="Z278" i="9"/>
  <c r="Z279" i="9"/>
  <c r="Z280" i="9"/>
  <c r="Z281" i="9"/>
  <c r="Z282" i="9"/>
  <c r="Z283" i="9"/>
  <c r="Z284" i="9"/>
  <c r="Z285" i="9"/>
  <c r="Z286" i="9"/>
  <c r="Z287" i="9"/>
  <c r="Z288" i="9"/>
  <c r="Z289" i="9"/>
  <c r="Z290" i="9"/>
  <c r="Z291" i="9"/>
  <c r="Z292" i="9"/>
  <c r="Z294" i="9"/>
  <c r="Z297" i="9"/>
  <c r="Z298" i="9"/>
  <c r="Z299" i="9"/>
  <c r="Z300" i="9"/>
  <c r="Z301" i="9"/>
  <c r="Z302" i="9"/>
  <c r="Z303" i="9"/>
  <c r="Z304" i="9"/>
  <c r="Z305" i="9"/>
  <c r="Z306" i="9"/>
  <c r="Z307" i="9"/>
  <c r="Z308" i="9"/>
  <c r="X43" i="9"/>
  <c r="V6" i="9"/>
  <c r="V11" i="9"/>
  <c r="V32" i="9"/>
  <c r="V275" i="9"/>
  <c r="X310" i="9" l="1"/>
  <c r="G310" i="12" s="1"/>
  <c r="G309" i="12"/>
  <c r="AA327" i="9"/>
  <c r="AB327" i="9"/>
  <c r="V327" i="9" s="1"/>
  <c r="AB340" i="9"/>
  <c r="V340" i="9" s="1"/>
  <c r="AB309" i="9"/>
  <c r="V309" i="9" s="1"/>
  <c r="Z309" i="9"/>
  <c r="AA309" i="9"/>
  <c r="Z341" i="9"/>
  <c r="AA341" i="9"/>
  <c r="AB341" i="9"/>
  <c r="V341" i="9" s="1"/>
  <c r="Z327" i="9"/>
  <c r="Z310" i="9"/>
  <c r="AA310" i="9"/>
  <c r="AB310" i="9"/>
  <c r="V310" i="9" s="1"/>
  <c r="AE55" i="9"/>
  <c r="AE47" i="9"/>
  <c r="AE39" i="9"/>
  <c r="AE7" i="9"/>
  <c r="AC109" i="9"/>
  <c r="AC77" i="9"/>
  <c r="AD61" i="9"/>
  <c r="AC45" i="9"/>
  <c r="AD37" i="9"/>
  <c r="AD29" i="9"/>
  <c r="AC189" i="9"/>
  <c r="AC304" i="9"/>
  <c r="AC298" i="9"/>
  <c r="AC290" i="9"/>
  <c r="AC282" i="9"/>
  <c r="AC274" i="9"/>
  <c r="AC266" i="9"/>
  <c r="AC258" i="9"/>
  <c r="AC250" i="9"/>
  <c r="AC242" i="9"/>
  <c r="AC234" i="9"/>
  <c r="AC226" i="9"/>
  <c r="AC210" i="9"/>
  <c r="AC202" i="9"/>
  <c r="AC186" i="9"/>
  <c r="AC178" i="9"/>
  <c r="AC170" i="9"/>
  <c r="AC154" i="9"/>
  <c r="AC146" i="9"/>
  <c r="AC122" i="9"/>
  <c r="AC114" i="9"/>
  <c r="AC106" i="9"/>
  <c r="AC98" i="9"/>
  <c r="AC90" i="9"/>
  <c r="AC82" i="9"/>
  <c r="AC74" i="9"/>
  <c r="AC66" i="9"/>
  <c r="AE58" i="9"/>
  <c r="AE42" i="9"/>
  <c r="AE34" i="9"/>
  <c r="AE26" i="9"/>
  <c r="AE18" i="9"/>
  <c r="AE10" i="9"/>
  <c r="AC297" i="9"/>
  <c r="AC289" i="9"/>
  <c r="AC281" i="9"/>
  <c r="AC273" i="9"/>
  <c r="AC265" i="9"/>
  <c r="AC257" i="9"/>
  <c r="AC249" i="9"/>
  <c r="AC241" i="9"/>
  <c r="AC233" i="9"/>
  <c r="AC225" i="9"/>
  <c r="AC209" i="9"/>
  <c r="AC201" i="9"/>
  <c r="AC193" i="9"/>
  <c r="AC185" i="9"/>
  <c r="AC177" i="9"/>
  <c r="AC169" i="9"/>
  <c r="AC161" i="9"/>
  <c r="AC153" i="9"/>
  <c r="AC145" i="9"/>
  <c r="AC129" i="9"/>
  <c r="AC121" i="9"/>
  <c r="AC105" i="9"/>
  <c r="AC97" i="9"/>
  <c r="AC89" i="9"/>
  <c r="AC81" i="9"/>
  <c r="AC73" i="9"/>
  <c r="AC65" i="9"/>
  <c r="AC125" i="9"/>
  <c r="AC61" i="9"/>
  <c r="AE45" i="9"/>
  <c r="AC344" i="9"/>
  <c r="W344" i="9" s="1"/>
  <c r="AC336" i="9"/>
  <c r="W336" i="9" s="1"/>
  <c r="AC328" i="9"/>
  <c r="W328" i="9" s="1"/>
  <c r="AC320" i="9"/>
  <c r="W320" i="9" s="1"/>
  <c r="AC312" i="9"/>
  <c r="W312" i="9" s="1"/>
  <c r="AC347" i="9"/>
  <c r="W347" i="9" s="1"/>
  <c r="AC339" i="9"/>
  <c r="W339" i="9" s="1"/>
  <c r="AC331" i="9"/>
  <c r="W331" i="9" s="1"/>
  <c r="AC323" i="9"/>
  <c r="W323" i="9" s="1"/>
  <c r="AC315" i="9"/>
  <c r="W315" i="9" s="1"/>
  <c r="AE60" i="9"/>
  <c r="AE52" i="9"/>
  <c r="AE44" i="9"/>
  <c r="AE36" i="9"/>
  <c r="AE12" i="9"/>
  <c r="AC346" i="9"/>
  <c r="W346" i="9" s="1"/>
  <c r="AC253" i="9"/>
  <c r="AC338" i="9"/>
  <c r="W338" i="9" s="1"/>
  <c r="V338" i="9"/>
  <c r="AC330" i="9"/>
  <c r="W330" i="9" s="1"/>
  <c r="V330" i="9"/>
  <c r="AC322" i="9"/>
  <c r="W322" i="9" s="1"/>
  <c r="V322" i="9"/>
  <c r="AC314" i="9"/>
  <c r="W314" i="9" s="1"/>
  <c r="V314" i="9"/>
  <c r="V346" i="9"/>
  <c r="AC307" i="9"/>
  <c r="AC245" i="9"/>
  <c r="AC181" i="9"/>
  <c r="AD45" i="9"/>
  <c r="AE37" i="9"/>
  <c r="AC345" i="9"/>
  <c r="W345" i="9" s="1"/>
  <c r="AC337" i="9"/>
  <c r="W337" i="9" s="1"/>
  <c r="AC329" i="9"/>
  <c r="W329" i="9" s="1"/>
  <c r="AC321" i="9"/>
  <c r="W321" i="9" s="1"/>
  <c r="AC313" i="9"/>
  <c r="W313" i="9" s="1"/>
  <c r="AC306" i="9"/>
  <c r="AC300" i="9"/>
  <c r="AC292" i="9"/>
  <c r="AC284" i="9"/>
  <c r="AC268" i="9"/>
  <c r="AC260" i="9"/>
  <c r="AC252" i="9"/>
  <c r="AC244" i="9"/>
  <c r="AC236" i="9"/>
  <c r="AC228" i="9"/>
  <c r="AC220" i="9"/>
  <c r="AC212" i="9"/>
  <c r="AC204" i="9"/>
  <c r="AC196" i="9"/>
  <c r="AC188" i="9"/>
  <c r="AC180" i="9"/>
  <c r="AC172" i="9"/>
  <c r="AC156" i="9"/>
  <c r="AC140" i="9"/>
  <c r="AC124" i="9"/>
  <c r="AC100" i="9"/>
  <c r="AC84" i="9"/>
  <c r="AC76" i="9"/>
  <c r="AC68" i="9"/>
  <c r="AC60" i="9"/>
  <c r="AC52" i="9"/>
  <c r="AC44" i="9"/>
  <c r="AC36" i="9"/>
  <c r="AC12" i="9"/>
  <c r="AC301" i="9"/>
  <c r="AC237" i="9"/>
  <c r="AC173" i="9"/>
  <c r="AE29" i="9"/>
  <c r="AC305" i="9"/>
  <c r="AC299" i="9"/>
  <c r="AC291" i="9"/>
  <c r="AC283" i="9"/>
  <c r="AC275" i="9"/>
  <c r="AC267" i="9"/>
  <c r="AC259" i="9"/>
  <c r="AC251" i="9"/>
  <c r="AC243" i="9"/>
  <c r="AC235" i="9"/>
  <c r="AC227" i="9"/>
  <c r="AC211" i="9"/>
  <c r="AC203" i="9"/>
  <c r="AC187" i="9"/>
  <c r="AC179" i="9"/>
  <c r="AC171" i="9"/>
  <c r="AC163" i="9"/>
  <c r="AC155" i="9"/>
  <c r="AC147" i="9"/>
  <c r="AC139" i="9"/>
  <c r="AC123" i="9"/>
  <c r="AC107" i="9"/>
  <c r="AC99" i="9"/>
  <c r="AC83" i="9"/>
  <c r="AC75" i="9"/>
  <c r="AC67" i="9"/>
  <c r="AC59" i="9"/>
  <c r="AC43" i="9"/>
  <c r="AC35" i="9"/>
  <c r="AC27" i="9"/>
  <c r="AC19" i="9"/>
  <c r="AC11" i="9"/>
  <c r="AC229" i="9"/>
  <c r="AC165" i="9"/>
  <c r="AC101" i="9"/>
  <c r="AC37" i="9"/>
  <c r="AC343" i="9"/>
  <c r="W343" i="9" s="1"/>
  <c r="AC335" i="9"/>
  <c r="W335" i="9" s="1"/>
  <c r="AC319" i="9"/>
  <c r="W319" i="9" s="1"/>
  <c r="AC311" i="9"/>
  <c r="W311" i="9" s="1"/>
  <c r="AC285" i="9"/>
  <c r="AC221" i="9"/>
  <c r="AC157" i="9"/>
  <c r="AC93" i="9"/>
  <c r="AC29" i="9"/>
  <c r="AC326" i="9"/>
  <c r="W326" i="9" s="1"/>
  <c r="AC318" i="9"/>
  <c r="W318" i="9" s="1"/>
  <c r="AC213" i="9"/>
  <c r="AC149" i="9"/>
  <c r="AC85" i="9"/>
  <c r="AC308" i="9"/>
  <c r="AC302" i="9"/>
  <c r="AC294" i="9"/>
  <c r="AC286" i="9"/>
  <c r="AC278" i="9"/>
  <c r="AC270" i="9"/>
  <c r="AC262" i="9"/>
  <c r="AC254" i="9"/>
  <c r="AC246" i="9"/>
  <c r="AC238" i="9"/>
  <c r="AC230" i="9"/>
  <c r="AC214" i="9"/>
  <c r="AC206" i="9"/>
  <c r="AC198" i="9"/>
  <c r="AC190" i="9"/>
  <c r="AC182" i="9"/>
  <c r="AC174" i="9"/>
  <c r="AC166" i="9"/>
  <c r="AC158" i="9"/>
  <c r="AC150" i="9"/>
  <c r="AC142" i="9"/>
  <c r="AC126" i="9"/>
  <c r="AC102" i="9"/>
  <c r="AC86" i="9"/>
  <c r="AC78" i="9"/>
  <c r="AC62" i="9"/>
  <c r="AC288" i="9"/>
  <c r="AC280" i="9"/>
  <c r="AC264" i="9"/>
  <c r="AC256" i="9"/>
  <c r="AC248" i="9"/>
  <c r="AC240" i="9"/>
  <c r="AC232" i="9"/>
  <c r="AC224" i="9"/>
  <c r="AC208" i="9"/>
  <c r="AC200" i="9"/>
  <c r="AC192" i="9"/>
  <c r="AC184" i="9"/>
  <c r="AC176" i="9"/>
  <c r="AC168" i="9"/>
  <c r="AC152" i="9"/>
  <c r="AC144" i="9"/>
  <c r="AC128" i="9"/>
  <c r="AC120" i="9"/>
  <c r="AC104" i="9"/>
  <c r="AC96" i="9"/>
  <c r="AC88" i="9"/>
  <c r="AC80" i="9"/>
  <c r="AC72" i="9"/>
  <c r="AC64" i="9"/>
  <c r="AE56" i="9"/>
  <c r="AE48" i="9"/>
  <c r="AE40" i="9"/>
  <c r="AE32" i="9"/>
  <c r="AE24" i="9"/>
  <c r="AE8" i="9"/>
  <c r="AC269" i="9"/>
  <c r="AC205" i="9"/>
  <c r="AC141" i="9"/>
  <c r="AE61" i="9"/>
  <c r="AC348" i="9"/>
  <c r="W348" i="9" s="1"/>
  <c r="AC332" i="9"/>
  <c r="W332" i="9" s="1"/>
  <c r="AC324" i="9"/>
  <c r="W324" i="9" s="1"/>
  <c r="AC316" i="9"/>
  <c r="W316" i="9" s="1"/>
  <c r="AC303" i="9"/>
  <c r="AC287" i="9"/>
  <c r="AC279" i="9"/>
  <c r="AC255" i="9"/>
  <c r="AC247" i="9"/>
  <c r="AC239" i="9"/>
  <c r="AC231" i="9"/>
  <c r="AC223" i="9"/>
  <c r="AC215" i="9"/>
  <c r="AC207" i="9"/>
  <c r="AC199" i="9"/>
  <c r="AC191" i="9"/>
  <c r="AC183" i="9"/>
  <c r="AC175" i="9"/>
  <c r="AC167" i="9"/>
  <c r="AC159" i="9"/>
  <c r="AC151" i="9"/>
  <c r="AC143" i="9"/>
  <c r="AC127" i="9"/>
  <c r="AC119" i="9"/>
  <c r="AC95" i="9"/>
  <c r="AC87" i="9"/>
  <c r="AC79" i="9"/>
  <c r="AC55" i="9"/>
  <c r="AC47" i="9"/>
  <c r="AC39" i="9"/>
  <c r="AD7" i="9"/>
  <c r="AC261" i="9"/>
  <c r="AC197" i="9"/>
  <c r="AC69" i="9"/>
  <c r="AE59" i="9"/>
  <c r="AE43" i="9"/>
  <c r="AE35" i="9"/>
  <c r="AE27" i="9"/>
  <c r="AE19" i="9"/>
  <c r="AE11" i="9"/>
  <c r="AE57" i="9"/>
  <c r="AD57" i="9"/>
  <c r="AC57" i="9"/>
  <c r="AE41" i="9"/>
  <c r="AD41" i="9"/>
  <c r="AC41" i="9"/>
  <c r="AE33" i="9"/>
  <c r="AD33" i="9"/>
  <c r="AC33" i="9"/>
  <c r="AE25" i="9"/>
  <c r="AD25" i="9"/>
  <c r="AC25" i="9"/>
  <c r="AE17" i="9"/>
  <c r="AD17" i="9"/>
  <c r="AC17" i="9"/>
  <c r="AE9" i="9"/>
  <c r="AD9" i="9"/>
  <c r="AC9" i="9"/>
  <c r="AE54" i="9"/>
  <c r="AD54" i="9"/>
  <c r="AC54" i="9"/>
  <c r="AE46" i="9"/>
  <c r="AD46" i="9"/>
  <c r="AC46" i="9"/>
  <c r="AE38" i="9"/>
  <c r="AD38" i="9"/>
  <c r="AC38" i="9"/>
  <c r="AE22" i="9"/>
  <c r="AD22" i="9"/>
  <c r="AC22" i="9"/>
  <c r="AE6" i="9"/>
  <c r="AD6" i="9"/>
  <c r="AC6" i="9"/>
  <c r="AD60" i="9"/>
  <c r="AD52" i="9"/>
  <c r="AD44" i="9"/>
  <c r="AD36" i="9"/>
  <c r="AD12" i="9"/>
  <c r="AD59" i="9"/>
  <c r="AD43" i="9"/>
  <c r="AD35" i="9"/>
  <c r="AD27" i="9"/>
  <c r="AD19" i="9"/>
  <c r="AD11" i="9"/>
  <c r="AC58" i="9"/>
  <c r="AC42" i="9"/>
  <c r="AC34" i="9"/>
  <c r="AC26" i="9"/>
  <c r="AC18" i="9"/>
  <c r="AC10" i="9"/>
  <c r="AD58" i="9"/>
  <c r="AD42" i="9"/>
  <c r="AD34" i="9"/>
  <c r="AD26" i="9"/>
  <c r="AD18" i="9"/>
  <c r="AD10" i="9"/>
  <c r="AC350" i="9"/>
  <c r="W350" i="9" s="1"/>
  <c r="AC342" i="9"/>
  <c r="W342" i="9" s="1"/>
  <c r="AC334" i="9"/>
  <c r="W334" i="9" s="1"/>
  <c r="AC349" i="9"/>
  <c r="W349" i="9" s="1"/>
  <c r="AC333" i="9"/>
  <c r="W333" i="9" s="1"/>
  <c r="AC325" i="9"/>
  <c r="W325" i="9" s="1"/>
  <c r="AC317" i="9"/>
  <c r="W317" i="9" s="1"/>
  <c r="AC56" i="9"/>
  <c r="AC48" i="9"/>
  <c r="AC40" i="9"/>
  <c r="AC32" i="9"/>
  <c r="AC24" i="9"/>
  <c r="AC8" i="9"/>
  <c r="AD56" i="9"/>
  <c r="AD48" i="9"/>
  <c r="AD40" i="9"/>
  <c r="AD32" i="9"/>
  <c r="AD24" i="9"/>
  <c r="AD8" i="9"/>
  <c r="AC7" i="9"/>
  <c r="AD55" i="9"/>
  <c r="AD47" i="9"/>
  <c r="AD39" i="9"/>
  <c r="J310" i="13"/>
  <c r="J311" i="13"/>
  <c r="J312" i="13"/>
  <c r="J313" i="13"/>
  <c r="J314" i="13"/>
  <c r="Y313" i="9" s="1"/>
  <c r="J315" i="13"/>
  <c r="J316" i="13"/>
  <c r="J317" i="13"/>
  <c r="Y316" i="9" s="1"/>
  <c r="J318" i="13"/>
  <c r="J319" i="13"/>
  <c r="J320" i="13"/>
  <c r="J321" i="13"/>
  <c r="J322" i="13"/>
  <c r="J323" i="13"/>
  <c r="J324" i="13"/>
  <c r="J325" i="13"/>
  <c r="Y324" i="9" s="1"/>
  <c r="J326" i="13"/>
  <c r="J327" i="13"/>
  <c r="J328" i="13"/>
  <c r="J329" i="13"/>
  <c r="J330" i="13"/>
  <c r="Y329" i="9" s="1"/>
  <c r="J331" i="13"/>
  <c r="J332" i="13"/>
  <c r="J333" i="13"/>
  <c r="Y332" i="9" s="1"/>
  <c r="J334" i="13"/>
  <c r="J335" i="13"/>
  <c r="J336" i="13"/>
  <c r="J337" i="13"/>
  <c r="J338" i="13"/>
  <c r="F337" i="12" s="1"/>
  <c r="J339" i="13"/>
  <c r="Y338" i="9" s="1"/>
  <c r="J340" i="13"/>
  <c r="J341" i="13"/>
  <c r="Y340" i="9" s="1"/>
  <c r="J342" i="13"/>
  <c r="J343" i="13"/>
  <c r="J344" i="13"/>
  <c r="J345" i="13"/>
  <c r="J346" i="13"/>
  <c r="F345" i="12" s="1"/>
  <c r="J347" i="13"/>
  <c r="F346" i="12" s="1"/>
  <c r="J348" i="13"/>
  <c r="J349" i="13"/>
  <c r="Y348" i="9" s="1"/>
  <c r="J350" i="13"/>
  <c r="J351" i="13"/>
  <c r="G348" i="12"/>
  <c r="G349" i="12"/>
  <c r="G350" i="12"/>
  <c r="E348" i="9"/>
  <c r="E349" i="9"/>
  <c r="E350" i="9"/>
  <c r="D348" i="9"/>
  <c r="D349" i="9"/>
  <c r="D350" i="9"/>
  <c r="C348" i="9"/>
  <c r="C349" i="9"/>
  <c r="C350" i="9"/>
  <c r="B348" i="9"/>
  <c r="B349" i="9"/>
  <c r="B350" i="9"/>
  <c r="B348" i="12"/>
  <c r="B349" i="12"/>
  <c r="B350" i="12"/>
  <c r="C348" i="12"/>
  <c r="C349" i="12"/>
  <c r="C350" i="12"/>
  <c r="D348" i="12"/>
  <c r="D349" i="12"/>
  <c r="D350" i="12"/>
  <c r="B347" i="12"/>
  <c r="C347" i="12"/>
  <c r="G347" i="12"/>
  <c r="D347" i="12"/>
  <c r="B347" i="9"/>
  <c r="C347" i="9"/>
  <c r="E347" i="9"/>
  <c r="D347"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G270" i="12"/>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130"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5" i="9"/>
  <c r="AC340" i="9" l="1"/>
  <c r="W340" i="9" s="1"/>
  <c r="AC309" i="9"/>
  <c r="W309" i="9" s="1"/>
  <c r="AC327" i="9"/>
  <c r="W327" i="9" s="1"/>
  <c r="AC341" i="9"/>
  <c r="W341" i="9" s="1"/>
  <c r="AC310" i="9"/>
  <c r="W310" i="9" s="1"/>
  <c r="Y322" i="9"/>
  <c r="F322" i="12"/>
  <c r="H322" i="12" s="1"/>
  <c r="Y339" i="9"/>
  <c r="F339" i="12"/>
  <c r="H339" i="12" s="1"/>
  <c r="Y323" i="9"/>
  <c r="F323" i="12"/>
  <c r="H323" i="12" s="1"/>
  <c r="Y330" i="9"/>
  <c r="F330" i="12"/>
  <c r="H330" i="12" s="1"/>
  <c r="Y331" i="9"/>
  <c r="F331" i="12"/>
  <c r="H331" i="12" s="1"/>
  <c r="F347" i="12"/>
  <c r="H347" i="12" s="1"/>
  <c r="Y347" i="9"/>
  <c r="F315" i="12"/>
  <c r="H315" i="12" s="1"/>
  <c r="Y315" i="9"/>
  <c r="F314" i="12"/>
  <c r="H314" i="12" s="1"/>
  <c r="Y314" i="9"/>
  <c r="Y321" i="9"/>
  <c r="F321" i="12"/>
  <c r="H321" i="12" s="1"/>
  <c r="F344" i="12"/>
  <c r="H344" i="12" s="1"/>
  <c r="Y344" i="9"/>
  <c r="F336" i="12"/>
  <c r="H336" i="12" s="1"/>
  <c r="Y336" i="9"/>
  <c r="F328" i="12"/>
  <c r="H328" i="12" s="1"/>
  <c r="Y328" i="9"/>
  <c r="Y320" i="9"/>
  <c r="F320" i="12"/>
  <c r="H320" i="12" s="1"/>
  <c r="Y312" i="9"/>
  <c r="F312" i="12"/>
  <c r="H312" i="12" s="1"/>
  <c r="F335" i="12"/>
  <c r="H335" i="12" s="1"/>
  <c r="Y335" i="9"/>
  <c r="Y311" i="9"/>
  <c r="F311" i="12"/>
  <c r="H311" i="12" s="1"/>
  <c r="Y350" i="9"/>
  <c r="F350" i="12"/>
  <c r="H350" i="12" s="1"/>
  <c r="Y342" i="9"/>
  <c r="F342" i="12"/>
  <c r="H342" i="12" s="1"/>
  <c r="F334" i="12"/>
  <c r="H334" i="12" s="1"/>
  <c r="Y334" i="9"/>
  <c r="F326" i="12"/>
  <c r="H326" i="12" s="1"/>
  <c r="Y326" i="9"/>
  <c r="F318" i="12"/>
  <c r="H318" i="12" s="1"/>
  <c r="Y318" i="9"/>
  <c r="Y310" i="9"/>
  <c r="H310" i="12"/>
  <c r="Y343" i="9"/>
  <c r="F343" i="12"/>
  <c r="H343" i="12" s="1"/>
  <c r="F319" i="12"/>
  <c r="H319" i="12" s="1"/>
  <c r="Y319" i="9"/>
  <c r="Y349" i="9"/>
  <c r="F349" i="12"/>
  <c r="H349" i="12" s="1"/>
  <c r="Y341" i="9"/>
  <c r="F341" i="12"/>
  <c r="H341" i="12" s="1"/>
  <c r="Y333" i="9"/>
  <c r="F333" i="12"/>
  <c r="H333" i="12" s="1"/>
  <c r="Y325" i="9"/>
  <c r="F325" i="12"/>
  <c r="H325" i="12" s="1"/>
  <c r="F317" i="12"/>
  <c r="H317" i="12" s="1"/>
  <c r="Y317" i="9"/>
  <c r="Y309" i="9"/>
  <c r="F327" i="12"/>
  <c r="H327" i="12" s="1"/>
  <c r="Y327" i="9"/>
  <c r="Y346" i="9"/>
  <c r="Y337" i="9"/>
  <c r="F313" i="12"/>
  <c r="H313" i="12" s="1"/>
  <c r="Y345" i="9"/>
  <c r="F338" i="12"/>
  <c r="H338" i="12" s="1"/>
  <c r="F329" i="12"/>
  <c r="H329" i="12" s="1"/>
  <c r="F348" i="12"/>
  <c r="H348" i="12" s="1"/>
  <c r="F340" i="12"/>
  <c r="H340" i="12" s="1"/>
  <c r="F332" i="12"/>
  <c r="H332" i="12" s="1"/>
  <c r="F324" i="12"/>
  <c r="H324" i="12" s="1"/>
  <c r="F316" i="12"/>
  <c r="H316" i="12" s="1"/>
  <c r="H346" i="12"/>
  <c r="H345" i="12"/>
  <c r="H337" i="12"/>
  <c r="G308" i="12"/>
  <c r="G307" i="12"/>
  <c r="G306" i="12"/>
  <c r="G305" i="12"/>
  <c r="G304" i="12"/>
  <c r="G303" i="12"/>
  <c r="G302" i="12"/>
  <c r="G301" i="12"/>
  <c r="G298" i="12"/>
  <c r="G297" i="12"/>
  <c r="G294" i="12"/>
  <c r="G292" i="12"/>
  <c r="G288" i="12"/>
  <c r="G284" i="12"/>
  <c r="G283" i="12"/>
  <c r="G279" i="12"/>
  <c r="G278" i="12"/>
  <c r="G275" i="12"/>
  <c r="G274" i="12"/>
  <c r="G273" i="12"/>
  <c r="G260" i="12"/>
  <c r="G259" i="12"/>
  <c r="G256" i="12"/>
  <c r="G255" i="12"/>
  <c r="G253" i="12"/>
  <c r="G250" i="12"/>
  <c r="G249" i="12"/>
  <c r="G247" i="12"/>
  <c r="G243" i="12"/>
  <c r="G242" i="12"/>
  <c r="G241" i="12"/>
  <c r="G239" i="12"/>
  <c r="G233" i="12"/>
  <c r="G225" i="12"/>
  <c r="G224" i="12"/>
  <c r="G221" i="12"/>
  <c r="G220" i="12"/>
  <c r="G214" i="12"/>
  <c r="G209" i="12"/>
  <c r="G201" i="12"/>
  <c r="G200" i="12"/>
  <c r="G199" i="12"/>
  <c r="G198" i="12"/>
  <c r="G197" i="12"/>
  <c r="G196" i="12"/>
  <c r="G186" i="12"/>
  <c r="G185" i="12"/>
  <c r="G184" i="12"/>
  <c r="G183" i="12"/>
  <c r="G181" i="12"/>
  <c r="G174" i="12"/>
  <c r="G172" i="12"/>
  <c r="G159" i="12"/>
  <c r="G158" i="12"/>
  <c r="G149" i="12"/>
  <c r="G147" i="12"/>
  <c r="G143" i="12"/>
  <c r="G142" i="12"/>
  <c r="G141" i="12"/>
  <c r="G140" i="12"/>
  <c r="G139" i="12"/>
  <c r="G129" i="12"/>
  <c r="G127" i="12"/>
  <c r="G126" i="12"/>
  <c r="G125" i="12"/>
  <c r="G124" i="12"/>
  <c r="G107" i="12"/>
  <c r="G102" i="12"/>
  <c r="G101" i="12"/>
  <c r="G99" i="12"/>
  <c r="G98" i="12"/>
  <c r="G97" i="12"/>
  <c r="G95" i="12"/>
  <c r="G93" i="12"/>
  <c r="G78" i="12"/>
  <c r="G74" i="12"/>
  <c r="G73" i="12"/>
  <c r="G55" i="12"/>
  <c r="G54" i="12"/>
  <c r="G52" i="12"/>
  <c r="G33" i="12"/>
  <c r="G32" i="12"/>
  <c r="G29" i="12"/>
  <c r="G27" i="12"/>
  <c r="G24" i="12"/>
  <c r="G18" i="12"/>
  <c r="G12" i="12"/>
  <c r="G11" i="12"/>
  <c r="G9" i="12"/>
  <c r="K295" i="9"/>
  <c r="U296" i="9"/>
  <c r="X296" i="9" s="1"/>
  <c r="U295" i="9"/>
  <c r="X295" i="9" s="1"/>
  <c r="R263" i="9"/>
  <c r="X263" i="9" s="1"/>
  <c r="U218" i="9"/>
  <c r="R108" i="9"/>
  <c r="U71" i="9"/>
  <c r="X71" i="9" s="1"/>
  <c r="AA295" i="9" l="1"/>
  <c r="AB295" i="9"/>
  <c r="Z295" i="9"/>
  <c r="AB296" i="9"/>
  <c r="Z296" i="9"/>
  <c r="AA296" i="9"/>
  <c r="AB71" i="9"/>
  <c r="AA71" i="9"/>
  <c r="Z71" i="9"/>
  <c r="G295" i="12"/>
  <c r="AA263" i="9"/>
  <c r="Z263" i="9"/>
  <c r="AB263" i="9"/>
  <c r="U70" i="9"/>
  <c r="X70" i="9" s="1"/>
  <c r="R63" i="9"/>
  <c r="X63" i="9" s="1"/>
  <c r="V263" i="9" l="1"/>
  <c r="AC263" i="9"/>
  <c r="AB63" i="9"/>
  <c r="AA63" i="9"/>
  <c r="Z63" i="9"/>
  <c r="V295" i="9"/>
  <c r="AC295" i="9"/>
  <c r="V296" i="9"/>
  <c r="AC296" i="9"/>
  <c r="AA70" i="9"/>
  <c r="AB70" i="9"/>
  <c r="Z70" i="9"/>
  <c r="V71" i="9"/>
  <c r="AC71" i="9"/>
  <c r="U53" i="9"/>
  <c r="R53" i="9"/>
  <c r="X53" i="9" s="1"/>
  <c r="U30" i="9"/>
  <c r="R30" i="9"/>
  <c r="X30" i="9" s="1"/>
  <c r="R16" i="9"/>
  <c r="X16" i="9" s="1"/>
  <c r="R21" i="9"/>
  <c r="X21" i="9" s="1"/>
  <c r="U277" i="9"/>
  <c r="X277" i="9" s="1"/>
  <c r="U276" i="9"/>
  <c r="R218" i="9"/>
  <c r="X218" i="9" s="1"/>
  <c r="U113" i="9"/>
  <c r="R28" i="9"/>
  <c r="U28" i="9"/>
  <c r="U23" i="9"/>
  <c r="X23" i="9" s="1"/>
  <c r="R20" i="9"/>
  <c r="X20" i="9" s="1"/>
  <c r="U15" i="9"/>
  <c r="R15" i="9"/>
  <c r="U14" i="9"/>
  <c r="R14" i="9"/>
  <c r="C283" i="9"/>
  <c r="L216" i="9"/>
  <c r="X216" i="9" s="1"/>
  <c r="C203" i="9"/>
  <c r="L164" i="9"/>
  <c r="X164" i="9" s="1"/>
  <c r="L148" i="9"/>
  <c r="L138" i="9"/>
  <c r="X138" i="9" s="1"/>
  <c r="L137" i="9"/>
  <c r="X137" i="9" s="1"/>
  <c r="L136" i="9"/>
  <c r="X136" i="9" s="1"/>
  <c r="L135" i="9"/>
  <c r="X135" i="9" s="1"/>
  <c r="L133" i="9"/>
  <c r="X133" i="9" s="1"/>
  <c r="L132" i="9"/>
  <c r="L131" i="9"/>
  <c r="L130" i="9"/>
  <c r="C85" i="9"/>
  <c r="X15" i="9" l="1"/>
  <c r="G15" i="12" s="1"/>
  <c r="X28" i="9"/>
  <c r="G53" i="12"/>
  <c r="G30" i="12"/>
  <c r="G50" i="12"/>
  <c r="G135" i="12"/>
  <c r="AA135" i="9"/>
  <c r="AB135" i="9"/>
  <c r="Z135" i="9"/>
  <c r="AB28" i="9"/>
  <c r="AA28" i="9"/>
  <c r="Z28" i="9"/>
  <c r="G28" i="12"/>
  <c r="AA30" i="9"/>
  <c r="Z30" i="9"/>
  <c r="AB30" i="9"/>
  <c r="AA50" i="9"/>
  <c r="AB50" i="9"/>
  <c r="Z50" i="9"/>
  <c r="AB136" i="9"/>
  <c r="Z136" i="9"/>
  <c r="AA136" i="9"/>
  <c r="G136" i="12"/>
  <c r="AB164" i="9"/>
  <c r="Z164" i="9"/>
  <c r="G164" i="12"/>
  <c r="AA164" i="9"/>
  <c r="AB20" i="9"/>
  <c r="G20" i="12"/>
  <c r="AA20" i="9"/>
  <c r="Z20" i="9"/>
  <c r="V70" i="9"/>
  <c r="AC70" i="9"/>
  <c r="Z137" i="9"/>
  <c r="AB137" i="9"/>
  <c r="AA137" i="9"/>
  <c r="G137" i="12"/>
  <c r="G23" i="12"/>
  <c r="AB23" i="9"/>
  <c r="AA23" i="9"/>
  <c r="Z23" i="9"/>
  <c r="Z218" i="9"/>
  <c r="AA218" i="9"/>
  <c r="AB218" i="9"/>
  <c r="Z21" i="9"/>
  <c r="AB21" i="9"/>
  <c r="G21" i="12"/>
  <c r="AA21" i="9"/>
  <c r="Z53" i="9"/>
  <c r="AB53" i="9"/>
  <c r="AA53" i="9"/>
  <c r="Z277" i="9"/>
  <c r="AA277" i="9"/>
  <c r="AB277" i="9"/>
  <c r="G277" i="12"/>
  <c r="V63" i="9"/>
  <c r="AC63" i="9"/>
  <c r="AA134" i="9"/>
  <c r="G134" i="12"/>
  <c r="AB134" i="9"/>
  <c r="Z134" i="9"/>
  <c r="AA138" i="9"/>
  <c r="G138" i="12"/>
  <c r="AB138" i="9"/>
  <c r="Z138" i="9"/>
  <c r="AB216" i="9"/>
  <c r="G216" i="12"/>
  <c r="Z216" i="9"/>
  <c r="AA216" i="9"/>
  <c r="AA15" i="9"/>
  <c r="Z15" i="9"/>
  <c r="AB15" i="9"/>
  <c r="AB16" i="9"/>
  <c r="G16" i="12"/>
  <c r="AA16" i="9"/>
  <c r="Z16" i="9"/>
  <c r="G6" i="12"/>
  <c r="G7" i="12"/>
  <c r="G8" i="12"/>
  <c r="G10" i="12"/>
  <c r="G17" i="12"/>
  <c r="G19" i="12"/>
  <c r="G22" i="12"/>
  <c r="G25" i="12"/>
  <c r="G26" i="12"/>
  <c r="G34" i="12"/>
  <c r="G35" i="12"/>
  <c r="G36" i="12"/>
  <c r="G37" i="12"/>
  <c r="G38" i="12"/>
  <c r="G39" i="12"/>
  <c r="G40" i="12"/>
  <c r="G41" i="12"/>
  <c r="G42" i="12"/>
  <c r="G43" i="12"/>
  <c r="G44" i="12"/>
  <c r="G45" i="12"/>
  <c r="G46" i="12"/>
  <c r="G47" i="12"/>
  <c r="G48" i="12"/>
  <c r="G56" i="12"/>
  <c r="G57" i="12"/>
  <c r="G58" i="12"/>
  <c r="G59" i="12"/>
  <c r="G60" i="12"/>
  <c r="G61" i="12"/>
  <c r="G62" i="12"/>
  <c r="G63" i="12"/>
  <c r="G64" i="12"/>
  <c r="G65" i="12"/>
  <c r="G66" i="12"/>
  <c r="G67" i="12"/>
  <c r="G68" i="12"/>
  <c r="G69" i="12"/>
  <c r="G70" i="12"/>
  <c r="G71" i="12"/>
  <c r="G72" i="12"/>
  <c r="G75" i="12"/>
  <c r="G76" i="12"/>
  <c r="G77" i="12"/>
  <c r="G79" i="12"/>
  <c r="G80" i="12"/>
  <c r="G81" i="12"/>
  <c r="G82" i="12"/>
  <c r="G83" i="12"/>
  <c r="G84" i="12"/>
  <c r="G85" i="12"/>
  <c r="G86" i="12"/>
  <c r="G87" i="12"/>
  <c r="G88" i="12"/>
  <c r="G89" i="12"/>
  <c r="G90" i="12"/>
  <c r="G96" i="12"/>
  <c r="G100" i="12"/>
  <c r="G104" i="12"/>
  <c r="G105" i="12"/>
  <c r="G106" i="12"/>
  <c r="G109" i="12"/>
  <c r="G114" i="12"/>
  <c r="G119" i="12"/>
  <c r="G120" i="12"/>
  <c r="G121" i="12"/>
  <c r="G122" i="12"/>
  <c r="G123" i="12"/>
  <c r="G128" i="12"/>
  <c r="G144" i="12"/>
  <c r="G145" i="12"/>
  <c r="G146" i="12"/>
  <c r="G150" i="12"/>
  <c r="G151" i="12"/>
  <c r="G152" i="12"/>
  <c r="G153" i="12"/>
  <c r="G154" i="12"/>
  <c r="G155" i="12"/>
  <c r="G156" i="12"/>
  <c r="G157" i="12"/>
  <c r="G161" i="12"/>
  <c r="G163" i="12"/>
  <c r="G165" i="12"/>
  <c r="G166" i="12"/>
  <c r="G167" i="12"/>
  <c r="G168" i="12"/>
  <c r="G169" i="12"/>
  <c r="G170" i="12"/>
  <c r="G171" i="12"/>
  <c r="G173" i="12"/>
  <c r="G175" i="12"/>
  <c r="G176" i="12"/>
  <c r="G177" i="12"/>
  <c r="G178" i="12"/>
  <c r="G179" i="12"/>
  <c r="G180" i="12"/>
  <c r="G182" i="12"/>
  <c r="G187" i="12"/>
  <c r="G188" i="12"/>
  <c r="G189" i="12"/>
  <c r="G190" i="12"/>
  <c r="G191" i="12"/>
  <c r="G192" i="12"/>
  <c r="G193" i="12"/>
  <c r="G202" i="12"/>
  <c r="G203" i="12"/>
  <c r="G204" i="12"/>
  <c r="G205" i="12"/>
  <c r="G206" i="12"/>
  <c r="G207" i="12"/>
  <c r="G208" i="12"/>
  <c r="G210" i="12"/>
  <c r="G211" i="12"/>
  <c r="G212" i="12"/>
  <c r="G213" i="12"/>
  <c r="G215" i="12"/>
  <c r="G226" i="12"/>
  <c r="G227" i="12"/>
  <c r="G228" i="12"/>
  <c r="G229" i="12"/>
  <c r="G230" i="12"/>
  <c r="G231" i="12"/>
  <c r="G232" i="12"/>
  <c r="G234" i="12"/>
  <c r="G235" i="12"/>
  <c r="G236" i="12"/>
  <c r="G237" i="12"/>
  <c r="G238" i="12"/>
  <c r="G240" i="12"/>
  <c r="G244" i="12"/>
  <c r="G245" i="12"/>
  <c r="G246" i="12"/>
  <c r="G248" i="12"/>
  <c r="G251" i="12"/>
  <c r="G252" i="12"/>
  <c r="G254" i="12"/>
  <c r="G257" i="12"/>
  <c r="G258" i="12"/>
  <c r="G261" i="12"/>
  <c r="G262" i="12"/>
  <c r="G263" i="12"/>
  <c r="G264" i="12"/>
  <c r="G265" i="12"/>
  <c r="G266" i="12"/>
  <c r="G267" i="12"/>
  <c r="G268" i="12"/>
  <c r="G269" i="12"/>
  <c r="G280" i="12"/>
  <c r="G281" i="12"/>
  <c r="G282" i="12"/>
  <c r="G285" i="12"/>
  <c r="G286" i="12"/>
  <c r="G287" i="12"/>
  <c r="G289" i="12"/>
  <c r="G290" i="12"/>
  <c r="G291" i="12"/>
  <c r="G296" i="12"/>
  <c r="G299" i="12"/>
  <c r="G300" i="12"/>
  <c r="G5" i="12"/>
  <c r="AB351" i="9"/>
  <c r="AB5" i="9"/>
  <c r="AA351" i="9"/>
  <c r="AA5" i="9"/>
  <c r="Z351" i="9"/>
  <c r="Z5" i="9"/>
  <c r="I272" i="9"/>
  <c r="X272" i="9" s="1"/>
  <c r="V21" i="9" l="1"/>
  <c r="AC21" i="9"/>
  <c r="V23" i="9"/>
  <c r="AC23" i="9"/>
  <c r="W23" i="9" s="1"/>
  <c r="AD16" i="9"/>
  <c r="AE16" i="9"/>
  <c r="V15" i="9"/>
  <c r="AC15" i="9"/>
  <c r="V20" i="9"/>
  <c r="AC20" i="9"/>
  <c r="V164" i="9"/>
  <c r="AC164" i="9"/>
  <c r="V136" i="9"/>
  <c r="AC136" i="9"/>
  <c r="AE28" i="9"/>
  <c r="AD28" i="9"/>
  <c r="V53" i="9"/>
  <c r="AC53" i="9"/>
  <c r="V50" i="9"/>
  <c r="AC50" i="9"/>
  <c r="V135" i="9"/>
  <c r="AC135" i="9"/>
  <c r="AB272" i="9"/>
  <c r="G272" i="12"/>
  <c r="AA272" i="9"/>
  <c r="Z272" i="9"/>
  <c r="V277" i="9"/>
  <c r="AC277" i="9"/>
  <c r="AE21" i="9"/>
  <c r="AD21" i="9"/>
  <c r="AE50" i="9"/>
  <c r="AD50" i="9"/>
  <c r="AD30" i="9"/>
  <c r="AE30" i="9"/>
  <c r="V28" i="9"/>
  <c r="AC28" i="9"/>
  <c r="V216" i="9"/>
  <c r="AC216" i="9"/>
  <c r="V137" i="9"/>
  <c r="AC137" i="9"/>
  <c r="V16" i="9"/>
  <c r="AC16" i="9"/>
  <c r="AD15" i="9"/>
  <c r="AE15" i="9"/>
  <c r="V138" i="9"/>
  <c r="AC138" i="9"/>
  <c r="V134" i="9"/>
  <c r="AC134" i="9"/>
  <c r="AD53" i="9"/>
  <c r="AE53" i="9"/>
  <c r="V218" i="9"/>
  <c r="AC218" i="9"/>
  <c r="AE23" i="9"/>
  <c r="AD23" i="9"/>
  <c r="AE20" i="9"/>
  <c r="AD20" i="9"/>
  <c r="V30" i="9"/>
  <c r="AC30" i="9"/>
  <c r="I217" i="9"/>
  <c r="X217" i="9" s="1"/>
  <c r="C184" i="9"/>
  <c r="V272" i="9" l="1"/>
  <c r="AC272" i="9"/>
  <c r="Z217" i="9"/>
  <c r="AB217" i="9"/>
  <c r="AA217" i="9"/>
  <c r="G217" i="12"/>
  <c r="I162" i="9"/>
  <c r="X162" i="9" s="1"/>
  <c r="I148" i="9"/>
  <c r="X148" i="9" s="1"/>
  <c r="I132" i="9"/>
  <c r="X132" i="9" s="1"/>
  <c r="I131" i="9"/>
  <c r="X131" i="9" s="1"/>
  <c r="I130" i="9"/>
  <c r="X130" i="9" s="1"/>
  <c r="G131" i="12" l="1"/>
  <c r="AB131" i="9"/>
  <c r="AA131" i="9"/>
  <c r="Z131" i="9"/>
  <c r="V217" i="9"/>
  <c r="AC217" i="9"/>
  <c r="G133" i="12"/>
  <c r="AB133" i="9"/>
  <c r="AA133" i="9"/>
  <c r="Z133" i="9"/>
  <c r="AA162" i="9"/>
  <c r="Z162" i="9"/>
  <c r="AB162" i="9"/>
  <c r="G162" i="12"/>
  <c r="AB132" i="9"/>
  <c r="AA132" i="9"/>
  <c r="G132" i="12"/>
  <c r="Z132" i="9"/>
  <c r="AA130" i="9"/>
  <c r="G130" i="12"/>
  <c r="AB130" i="9"/>
  <c r="Z130" i="9"/>
  <c r="AB148" i="9"/>
  <c r="AA148" i="9"/>
  <c r="G148" i="12"/>
  <c r="Z148" i="9"/>
  <c r="I108" i="9"/>
  <c r="V148" i="9" l="1"/>
  <c r="AC148" i="9"/>
  <c r="V132" i="9"/>
  <c r="AC132" i="9"/>
  <c r="V131" i="9"/>
  <c r="AC131" i="9"/>
  <c r="G103" i="12"/>
  <c r="AB103" i="9"/>
  <c r="AA103" i="9"/>
  <c r="Z103" i="9"/>
  <c r="V130" i="9"/>
  <c r="AC130" i="9"/>
  <c r="V162" i="9"/>
  <c r="AC162" i="9"/>
  <c r="V133" i="9"/>
  <c r="AC133" i="9"/>
  <c r="C62" i="9"/>
  <c r="V103" i="9" l="1"/>
  <c r="AC103" i="9"/>
  <c r="I31" i="9"/>
  <c r="Z49" i="9" l="1"/>
  <c r="AB49" i="9"/>
  <c r="G49" i="12"/>
  <c r="AA49" i="9"/>
  <c r="G51" i="12"/>
  <c r="Z51" i="9"/>
  <c r="AB51" i="9"/>
  <c r="AA51" i="9"/>
  <c r="I14" i="9"/>
  <c r="X14" i="9" s="1"/>
  <c r="I13" i="9"/>
  <c r="X13" i="9" s="1"/>
  <c r="R293" i="9"/>
  <c r="X293" i="9" s="1"/>
  <c r="V49" i="9" l="1"/>
  <c r="AC49" i="9"/>
  <c r="AA14" i="9"/>
  <c r="Z14" i="9"/>
  <c r="AB14" i="9"/>
  <c r="G14" i="12"/>
  <c r="AD51" i="9"/>
  <c r="AE51" i="9"/>
  <c r="Z13" i="9"/>
  <c r="AB13" i="9"/>
  <c r="AA13" i="9"/>
  <c r="G13" i="12"/>
  <c r="Z293" i="9"/>
  <c r="G293" i="12"/>
  <c r="AA293" i="9"/>
  <c r="AB293" i="9"/>
  <c r="V51" i="9"/>
  <c r="AC51" i="9"/>
  <c r="AE49" i="9"/>
  <c r="AD49" i="9"/>
  <c r="R276" i="9"/>
  <c r="X276" i="9" s="1"/>
  <c r="R271" i="9"/>
  <c r="X271" i="9" s="1"/>
  <c r="AE13" i="9" l="1"/>
  <c r="AD13" i="9"/>
  <c r="AE14" i="9"/>
  <c r="AD14" i="9"/>
  <c r="V13" i="9"/>
  <c r="AC13" i="9"/>
  <c r="AB276" i="9"/>
  <c r="G276" i="12"/>
  <c r="AA276" i="9"/>
  <c r="Z276" i="9"/>
  <c r="V293" i="9"/>
  <c r="AC293" i="9"/>
  <c r="V14" i="9"/>
  <c r="AC14" i="9"/>
  <c r="AA271" i="9"/>
  <c r="Z271" i="9"/>
  <c r="AB271" i="9"/>
  <c r="G271" i="12"/>
  <c r="U222" i="9"/>
  <c r="X222" i="9" s="1"/>
  <c r="R219" i="9"/>
  <c r="X219" i="9" s="1"/>
  <c r="V276" i="9" l="1"/>
  <c r="AC276" i="9"/>
  <c r="V271" i="9"/>
  <c r="AC271" i="9"/>
  <c r="AA219" i="9"/>
  <c r="Z219" i="9"/>
  <c r="AB219" i="9"/>
  <c r="G219" i="12"/>
  <c r="Z222" i="9"/>
  <c r="AB222" i="9"/>
  <c r="G222" i="12"/>
  <c r="AA222" i="9"/>
  <c r="G218" i="12"/>
  <c r="G223" i="12"/>
  <c r="R195" i="9"/>
  <c r="X195" i="9" s="1"/>
  <c r="R194" i="9"/>
  <c r="X194" i="9" s="1"/>
  <c r="V219" i="9" l="1"/>
  <c r="AC219" i="9"/>
  <c r="V222" i="9"/>
  <c r="AC222" i="9"/>
  <c r="AA194" i="9"/>
  <c r="Z194" i="9"/>
  <c r="AB194" i="9"/>
  <c r="G194" i="12"/>
  <c r="G195" i="12"/>
  <c r="AB195" i="9"/>
  <c r="AA195" i="9"/>
  <c r="Z195" i="9"/>
  <c r="U160" i="9"/>
  <c r="R160" i="9"/>
  <c r="X160" i="9" s="1"/>
  <c r="R118" i="9"/>
  <c r="U118" i="9"/>
  <c r="U117" i="9"/>
  <c r="R117" i="9"/>
  <c r="U116" i="9"/>
  <c r="R116" i="9"/>
  <c r="X116" i="9" s="1"/>
  <c r="U115" i="9"/>
  <c r="R115" i="9"/>
  <c r="X115" i="9" s="1"/>
  <c r="R113" i="9"/>
  <c r="X113" i="9" s="1"/>
  <c r="U112" i="9"/>
  <c r="R112" i="9"/>
  <c r="U111" i="9"/>
  <c r="R111" i="9"/>
  <c r="U110" i="9"/>
  <c r="R110" i="9"/>
  <c r="U108" i="9"/>
  <c r="X108" i="9" s="1"/>
  <c r="R94" i="9"/>
  <c r="X94" i="9" s="1"/>
  <c r="R92" i="9"/>
  <c r="X92" i="9" s="1"/>
  <c r="R91" i="9"/>
  <c r="X91" i="9" s="1"/>
  <c r="X117" i="9" l="1"/>
  <c r="X31" i="9"/>
  <c r="G31" i="12" s="1"/>
  <c r="X118" i="9"/>
  <c r="X110" i="9"/>
  <c r="X111" i="9"/>
  <c r="X112" i="9"/>
  <c r="G112" i="12" s="1"/>
  <c r="Z117" i="9"/>
  <c r="G117" i="12"/>
  <c r="AA117" i="9"/>
  <c r="AB117" i="9"/>
  <c r="AB160" i="9"/>
  <c r="AA160" i="9"/>
  <c r="G160" i="12"/>
  <c r="Z160" i="9"/>
  <c r="V195" i="9"/>
  <c r="AC195" i="9"/>
  <c r="V194" i="9"/>
  <c r="AC194" i="9"/>
  <c r="G91" i="12"/>
  <c r="AB91" i="9"/>
  <c r="AA91" i="9"/>
  <c r="Z91" i="9"/>
  <c r="AB112" i="9"/>
  <c r="AA112" i="9"/>
  <c r="Z112" i="9"/>
  <c r="AB92" i="9"/>
  <c r="Z92" i="9"/>
  <c r="AA92" i="9"/>
  <c r="G92" i="12"/>
  <c r="AB116" i="9"/>
  <c r="AA116" i="9"/>
  <c r="Z116" i="9"/>
  <c r="G116" i="12"/>
  <c r="AB108" i="9"/>
  <c r="AA108" i="9"/>
  <c r="G108" i="12"/>
  <c r="Z108" i="9"/>
  <c r="G115" i="12"/>
  <c r="AB115" i="9"/>
  <c r="Z115" i="9"/>
  <c r="AA115" i="9"/>
  <c r="AA110" i="9"/>
  <c r="G110" i="12"/>
  <c r="Z110" i="9"/>
  <c r="AB110" i="9"/>
  <c r="AB31" i="9"/>
  <c r="AA31" i="9"/>
  <c r="Z31" i="9"/>
  <c r="AA94" i="9"/>
  <c r="G94" i="12"/>
  <c r="Z94" i="9"/>
  <c r="AB94" i="9"/>
  <c r="G111" i="12"/>
  <c r="AA111" i="9"/>
  <c r="AB111" i="9"/>
  <c r="Z111" i="9"/>
  <c r="Z113" i="9"/>
  <c r="AB113" i="9"/>
  <c r="AA113" i="9"/>
  <c r="G113" i="12"/>
  <c r="AA118" i="9"/>
  <c r="AB118" i="9"/>
  <c r="Z118" i="9"/>
  <c r="G118" i="12"/>
  <c r="W93" i="9"/>
  <c r="W101" i="9"/>
  <c r="W109" i="9"/>
  <c r="W128" i="9"/>
  <c r="W136" i="9"/>
  <c r="W168" i="9"/>
  <c r="AE31" i="9" l="1"/>
  <c r="AD31" i="9"/>
  <c r="V115" i="9"/>
  <c r="AC115" i="9"/>
  <c r="W115" i="9" s="1"/>
  <c r="V117" i="9"/>
  <c r="AC117" i="9"/>
  <c r="W117" i="9" s="1"/>
  <c r="V94" i="9"/>
  <c r="AC94" i="9"/>
  <c r="W94" i="9" s="1"/>
  <c r="V31" i="9"/>
  <c r="AC31" i="9"/>
  <c r="V108" i="9"/>
  <c r="AC108" i="9"/>
  <c r="W108" i="9" s="1"/>
  <c r="V116" i="9"/>
  <c r="AC116" i="9"/>
  <c r="W116" i="9" s="1"/>
  <c r="V92" i="9"/>
  <c r="AC92" i="9"/>
  <c r="W92" i="9" s="1"/>
  <c r="V91" i="9"/>
  <c r="AC91" i="9"/>
  <c r="W91" i="9" s="1"/>
  <c r="V111" i="9"/>
  <c r="AC111" i="9"/>
  <c r="W111" i="9" s="1"/>
  <c r="V110" i="9"/>
  <c r="AC110" i="9"/>
  <c r="W110" i="9" s="1"/>
  <c r="V112" i="9"/>
  <c r="AC112" i="9"/>
  <c r="W112" i="9" s="1"/>
  <c r="V118" i="9"/>
  <c r="AC118" i="9"/>
  <c r="W118" i="9" s="1"/>
  <c r="V113" i="9"/>
  <c r="AC113" i="9"/>
  <c r="W113" i="9" s="1"/>
  <c r="V160" i="9"/>
  <c r="AC160" i="9"/>
  <c r="W160" i="9" s="1"/>
  <c r="W152" i="9"/>
  <c r="W144" i="9"/>
  <c r="W181" i="9"/>
  <c r="W122" i="9"/>
  <c r="W213" i="9"/>
  <c r="W149" i="9"/>
  <c r="W86" i="9"/>
  <c r="W220" i="9"/>
  <c r="W205" i="9"/>
  <c r="W197" i="9"/>
  <c r="W189" i="9"/>
  <c r="W173" i="9"/>
  <c r="W165" i="9"/>
  <c r="W157" i="9"/>
  <c r="W141" i="9"/>
  <c r="W133" i="9"/>
  <c r="W126" i="9"/>
  <c r="W114" i="9"/>
  <c r="W106" i="9"/>
  <c r="W98" i="9"/>
  <c r="W245" i="9"/>
  <c r="W299" i="9"/>
  <c r="W267" i="9"/>
  <c r="W235" i="9"/>
  <c r="W307" i="9"/>
  <c r="W285" i="9"/>
  <c r="W218" i="9"/>
  <c r="W203" i="9"/>
  <c r="W195" i="9"/>
  <c r="W187" i="9"/>
  <c r="W179" i="9"/>
  <c r="W171" i="9"/>
  <c r="W163" i="9"/>
  <c r="W155" i="9"/>
  <c r="W147" i="9"/>
  <c r="W139" i="9"/>
  <c r="W131" i="9"/>
  <c r="W120" i="9"/>
  <c r="W104" i="9"/>
  <c r="W96" i="9"/>
  <c r="W277" i="9"/>
  <c r="W211" i="9"/>
  <c r="W229" i="9"/>
  <c r="W306" i="9"/>
  <c r="W300" i="9"/>
  <c r="W292" i="9"/>
  <c r="W284" i="9"/>
  <c r="W276" i="9"/>
  <c r="W268" i="9"/>
  <c r="W260" i="9"/>
  <c r="W252" i="9"/>
  <c r="W244" i="9"/>
  <c r="W236" i="9"/>
  <c r="W228" i="9"/>
  <c r="W269" i="9"/>
  <c r="W253" i="9"/>
  <c r="W82" i="9"/>
  <c r="W85" i="9"/>
  <c r="W305" i="9"/>
  <c r="W291" i="9"/>
  <c r="W283" i="9"/>
  <c r="W275" i="9"/>
  <c r="W259" i="9"/>
  <c r="W251" i="9"/>
  <c r="W243" i="9"/>
  <c r="W227" i="9"/>
  <c r="W304" i="9"/>
  <c r="W298" i="9"/>
  <c r="W290" i="9"/>
  <c r="W282" i="9"/>
  <c r="W274" i="9"/>
  <c r="W266" i="9"/>
  <c r="W258" i="9"/>
  <c r="W250" i="9"/>
  <c r="W242" i="9"/>
  <c r="W234" i="9"/>
  <c r="W226" i="9"/>
  <c r="W293" i="9"/>
  <c r="W83" i="9"/>
  <c r="W297" i="9"/>
  <c r="W289" i="9"/>
  <c r="W281" i="9"/>
  <c r="W273" i="9"/>
  <c r="W265" i="9"/>
  <c r="W257" i="9"/>
  <c r="W249" i="9"/>
  <c r="W241" i="9"/>
  <c r="W233" i="9"/>
  <c r="W225" i="9"/>
  <c r="W217" i="9"/>
  <c r="W210" i="9"/>
  <c r="W202" i="9"/>
  <c r="W194" i="9"/>
  <c r="W186" i="9"/>
  <c r="W178" i="9"/>
  <c r="W170" i="9"/>
  <c r="W162" i="9"/>
  <c r="W154" i="9"/>
  <c r="W146" i="9"/>
  <c r="W138" i="9"/>
  <c r="W130" i="9"/>
  <c r="W119" i="9"/>
  <c r="W103" i="9"/>
  <c r="W95" i="9"/>
  <c r="W237" i="9"/>
  <c r="W261" i="9"/>
  <c r="AC351" i="9"/>
  <c r="W301" i="9"/>
  <c r="W308" i="9"/>
  <c r="W302" i="9"/>
  <c r="W294" i="9"/>
  <c r="W286" i="9"/>
  <c r="W278" i="9"/>
  <c r="W270" i="9"/>
  <c r="W262" i="9"/>
  <c r="W254" i="9"/>
  <c r="W246" i="9"/>
  <c r="W238" i="9"/>
  <c r="W230" i="9"/>
  <c r="W215" i="9"/>
  <c r="W207" i="9"/>
  <c r="W199" i="9"/>
  <c r="W191" i="9"/>
  <c r="W183" i="9"/>
  <c r="W175" i="9"/>
  <c r="W167" i="9"/>
  <c r="W159" i="9"/>
  <c r="W151" i="9"/>
  <c r="W143" i="9"/>
  <c r="W135" i="9"/>
  <c r="W124" i="9"/>
  <c r="W100" i="9"/>
  <c r="W221" i="9"/>
  <c r="W214" i="9"/>
  <c r="W206" i="9"/>
  <c r="W198" i="9"/>
  <c r="W190" i="9"/>
  <c r="W182" i="9"/>
  <c r="W174" i="9"/>
  <c r="W166" i="9"/>
  <c r="W158" i="9"/>
  <c r="W150" i="9"/>
  <c r="W142" i="9"/>
  <c r="W134" i="9"/>
  <c r="W127" i="9"/>
  <c r="W123" i="9"/>
  <c r="W107" i="9"/>
  <c r="W99" i="9"/>
  <c r="W81" i="9"/>
  <c r="W84" i="9"/>
  <c r="W219" i="9"/>
  <c r="W212" i="9"/>
  <c r="W204" i="9"/>
  <c r="W196" i="9"/>
  <c r="W188" i="9"/>
  <c r="W180" i="9"/>
  <c r="W172" i="9"/>
  <c r="W164" i="9"/>
  <c r="W156" i="9"/>
  <c r="W148" i="9"/>
  <c r="W140" i="9"/>
  <c r="W132" i="9"/>
  <c r="W121" i="9"/>
  <c r="W105" i="9"/>
  <c r="W97" i="9"/>
  <c r="W209" i="9"/>
  <c r="W201" i="9"/>
  <c r="W193" i="9"/>
  <c r="W185" i="9"/>
  <c r="W177" i="9"/>
  <c r="W169" i="9"/>
  <c r="W161" i="9"/>
  <c r="W153" i="9"/>
  <c r="W145" i="9"/>
  <c r="W137" i="9"/>
  <c r="W129" i="9"/>
  <c r="W125" i="9"/>
  <c r="W102" i="9"/>
  <c r="W296" i="9"/>
  <c r="W288" i="9"/>
  <c r="W280" i="9"/>
  <c r="W272" i="9"/>
  <c r="W264" i="9"/>
  <c r="W256" i="9"/>
  <c r="W248" i="9"/>
  <c r="W240" i="9"/>
  <c r="W232" i="9"/>
  <c r="W224" i="9"/>
  <c r="W216" i="9"/>
  <c r="W208" i="9"/>
  <c r="W200" i="9"/>
  <c r="W192" i="9"/>
  <c r="W184" i="9"/>
  <c r="W176" i="9"/>
  <c r="W303" i="9"/>
  <c r="W295" i="9"/>
  <c r="W287" i="9"/>
  <c r="W279" i="9"/>
  <c r="W271" i="9"/>
  <c r="W263" i="9"/>
  <c r="W255" i="9"/>
  <c r="W247" i="9"/>
  <c r="W239" i="9"/>
  <c r="W231" i="9"/>
  <c r="W223" i="9"/>
  <c r="W222" i="9"/>
  <c r="W90" i="9"/>
  <c r="W89" i="9"/>
  <c r="W88" i="9"/>
  <c r="W87" i="9"/>
  <c r="W66" i="9" l="1"/>
  <c r="D304" i="12" l="1"/>
  <c r="D305" i="12"/>
  <c r="D306" i="12"/>
  <c r="D307" i="12"/>
  <c r="D308" i="12"/>
  <c r="C305" i="12" l="1"/>
  <c r="C306" i="12"/>
  <c r="C307" i="12"/>
  <c r="C308" i="12"/>
  <c r="B305" i="12"/>
  <c r="B306" i="12"/>
  <c r="B307" i="12"/>
  <c r="B308" i="12"/>
  <c r="B304" i="9"/>
  <c r="B305" i="9"/>
  <c r="B306" i="9"/>
  <c r="B307" i="9"/>
  <c r="B308" i="9"/>
  <c r="C304" i="9"/>
  <c r="C305" i="9"/>
  <c r="C306" i="9"/>
  <c r="C307" i="9"/>
  <c r="C308" i="9"/>
  <c r="E304" i="9"/>
  <c r="E305" i="9"/>
  <c r="E306" i="9"/>
  <c r="E307" i="9"/>
  <c r="E308" i="9"/>
  <c r="C304" i="12"/>
  <c r="B304" i="12"/>
  <c r="J305" i="13"/>
  <c r="J306" i="13"/>
  <c r="J307" i="13"/>
  <c r="J308" i="13"/>
  <c r="J309" i="13"/>
  <c r="A3" i="12"/>
  <c r="Y307" i="9" l="1"/>
  <c r="F306" i="12"/>
  <c r="H306" i="12" s="1"/>
  <c r="Y306" i="9"/>
  <c r="F308" i="12"/>
  <c r="H308" i="12" s="1"/>
  <c r="Y308" i="9"/>
  <c r="F304" i="12"/>
  <c r="H304" i="12" s="1"/>
  <c r="Y304" i="9"/>
  <c r="F305" i="12"/>
  <c r="H305" i="12" s="1"/>
  <c r="Y305" i="9"/>
  <c r="F307" i="12"/>
  <c r="H307" i="12" s="1"/>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5" i="9"/>
  <c r="C186" i="9"/>
  <c r="C187" i="9"/>
  <c r="C188" i="9"/>
  <c r="C189" i="9"/>
  <c r="C190" i="9"/>
  <c r="C191" i="9"/>
  <c r="C192" i="9"/>
  <c r="C193" i="9"/>
  <c r="C194" i="9"/>
  <c r="C195" i="9"/>
  <c r="C196" i="9"/>
  <c r="C197" i="9"/>
  <c r="C198" i="9"/>
  <c r="C199" i="9"/>
  <c r="C200" i="9"/>
  <c r="C201" i="9"/>
  <c r="C202"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4" i="9"/>
  <c r="C285" i="9"/>
  <c r="C286" i="9"/>
  <c r="C287" i="9"/>
  <c r="C288" i="9"/>
  <c r="C289" i="9"/>
  <c r="C290" i="9"/>
  <c r="C291" i="9"/>
  <c r="C292" i="9"/>
  <c r="C293" i="9"/>
  <c r="C294" i="9"/>
  <c r="C295" i="9"/>
  <c r="C296" i="9"/>
  <c r="C297" i="9"/>
  <c r="C298" i="9"/>
  <c r="C299" i="9"/>
  <c r="C300" i="9"/>
  <c r="C301" i="9"/>
  <c r="C302" i="9"/>
  <c r="C303"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F66" i="12"/>
  <c r="J107" i="13"/>
  <c r="L107" i="13" s="1"/>
  <c r="F106" i="9" s="1"/>
  <c r="J108" i="13"/>
  <c r="J109" i="13"/>
  <c r="J110" i="13"/>
  <c r="J111" i="13"/>
  <c r="J112" i="13"/>
  <c r="J113" i="13"/>
  <c r="J114" i="13"/>
  <c r="J115" i="13"/>
  <c r="L115" i="13" s="1"/>
  <c r="F114" i="9" s="1"/>
  <c r="J116" i="13"/>
  <c r="J117" i="13"/>
  <c r="J118" i="13"/>
  <c r="J119" i="13"/>
  <c r="J120" i="13"/>
  <c r="L120" i="13" s="1"/>
  <c r="F119" i="9" s="1"/>
  <c r="J121" i="13"/>
  <c r="L121" i="13" s="1"/>
  <c r="F120" i="9" s="1"/>
  <c r="J122" i="13"/>
  <c r="L122" i="13" s="1"/>
  <c r="F121" i="9" s="1"/>
  <c r="J123" i="13"/>
  <c r="J124" i="13"/>
  <c r="J125" i="13"/>
  <c r="J126" i="13"/>
  <c r="J127" i="13"/>
  <c r="J128" i="13"/>
  <c r="J129" i="13"/>
  <c r="J130" i="13"/>
  <c r="J131" i="13"/>
  <c r="J132" i="13"/>
  <c r="J133" i="13"/>
  <c r="J134" i="13"/>
  <c r="J135" i="13"/>
  <c r="J136" i="13"/>
  <c r="L136" i="13" s="1"/>
  <c r="F135" i="9" s="1"/>
  <c r="J137" i="13"/>
  <c r="J138" i="13"/>
  <c r="J139" i="13"/>
  <c r="J140" i="13"/>
  <c r="J141" i="13"/>
  <c r="J142" i="13"/>
  <c r="L142" i="13" s="1"/>
  <c r="F141" i="9" s="1"/>
  <c r="J143" i="13"/>
  <c r="J144" i="13"/>
  <c r="J145" i="13"/>
  <c r="J146" i="13"/>
  <c r="J147" i="13"/>
  <c r="J148" i="13"/>
  <c r="J149" i="13"/>
  <c r="L149" i="13" s="1"/>
  <c r="F148" i="9" s="1"/>
  <c r="J150" i="13"/>
  <c r="J151" i="13"/>
  <c r="J152" i="13"/>
  <c r="J153" i="13"/>
  <c r="J154" i="13"/>
  <c r="J155" i="13"/>
  <c r="J156" i="13"/>
  <c r="J157" i="13"/>
  <c r="J158" i="13"/>
  <c r="J159" i="13"/>
  <c r="J160" i="13"/>
  <c r="J161" i="13"/>
  <c r="J162" i="13"/>
  <c r="J163" i="13"/>
  <c r="L163" i="13" s="1"/>
  <c r="F162" i="9" s="1"/>
  <c r="J164" i="13"/>
  <c r="L164" i="13" s="1"/>
  <c r="F163" i="9" s="1"/>
  <c r="J165" i="13"/>
  <c r="J166" i="13"/>
  <c r="J167" i="13"/>
  <c r="J168" i="13"/>
  <c r="J169" i="13"/>
  <c r="J170" i="13"/>
  <c r="J171" i="13"/>
  <c r="L171" i="13" s="1"/>
  <c r="F170" i="9" s="1"/>
  <c r="J172" i="13"/>
  <c r="J173" i="13"/>
  <c r="J174" i="13"/>
  <c r="L174" i="13" s="1"/>
  <c r="F173" i="9" s="1"/>
  <c r="J175" i="13"/>
  <c r="L175" i="13" s="1"/>
  <c r="F174" i="9" s="1"/>
  <c r="J176" i="13"/>
  <c r="J177" i="13"/>
  <c r="J178" i="13"/>
  <c r="J179" i="13"/>
  <c r="J180" i="13"/>
  <c r="J181" i="13"/>
  <c r="J182" i="13"/>
  <c r="L182" i="13" s="1"/>
  <c r="F181" i="9" s="1"/>
  <c r="J183" i="13"/>
  <c r="L183" i="13" s="1"/>
  <c r="F182" i="9" s="1"/>
  <c r="J184" i="13"/>
  <c r="J185" i="13"/>
  <c r="J186" i="13"/>
  <c r="J187" i="13"/>
  <c r="J188" i="13"/>
  <c r="J189" i="13"/>
  <c r="J190" i="13"/>
  <c r="J191" i="13"/>
  <c r="J192" i="13"/>
  <c r="J193" i="13"/>
  <c r="J194" i="13"/>
  <c r="J195" i="13"/>
  <c r="J196" i="13"/>
  <c r="J197" i="13"/>
  <c r="J198" i="13"/>
  <c r="J199" i="13"/>
  <c r="J200" i="13"/>
  <c r="J201" i="13"/>
  <c r="J202" i="13"/>
  <c r="L202" i="13" s="1"/>
  <c r="F201" i="9" s="1"/>
  <c r="J203" i="13"/>
  <c r="J204" i="13"/>
  <c r="J205" i="13"/>
  <c r="J206" i="13"/>
  <c r="J207" i="13"/>
  <c r="J208" i="13"/>
  <c r="J209" i="13"/>
  <c r="J210" i="13"/>
  <c r="J211" i="13"/>
  <c r="J212" i="13"/>
  <c r="J213" i="13"/>
  <c r="J214" i="13"/>
  <c r="J215" i="13"/>
  <c r="J216" i="13"/>
  <c r="J217" i="13"/>
  <c r="J218" i="13"/>
  <c r="L218" i="13" s="1"/>
  <c r="F217" i="9" s="1"/>
  <c r="J219" i="13"/>
  <c r="J220" i="13"/>
  <c r="J221" i="13"/>
  <c r="J222" i="13"/>
  <c r="J223" i="13"/>
  <c r="J224" i="13"/>
  <c r="J225" i="13"/>
  <c r="J226" i="13"/>
  <c r="J227" i="13"/>
  <c r="J228" i="13"/>
  <c r="J229" i="13"/>
  <c r="J230" i="13"/>
  <c r="J231" i="13"/>
  <c r="J232" i="13"/>
  <c r="J233" i="13"/>
  <c r="J234" i="13"/>
  <c r="J235" i="13"/>
  <c r="J236" i="13"/>
  <c r="J237" i="13"/>
  <c r="L237" i="13" s="1"/>
  <c r="F236" i="9" s="1"/>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L281" i="13" s="1"/>
  <c r="F280" i="9" s="1"/>
  <c r="J282" i="13"/>
  <c r="J283" i="13"/>
  <c r="J284" i="13"/>
  <c r="J285" i="13"/>
  <c r="J286" i="13"/>
  <c r="J287" i="13"/>
  <c r="J288" i="13"/>
  <c r="J289" i="13"/>
  <c r="J290" i="13"/>
  <c r="J291" i="13"/>
  <c r="J292" i="13"/>
  <c r="J293" i="13"/>
  <c r="J294" i="13"/>
  <c r="J295" i="13"/>
  <c r="J296" i="13"/>
  <c r="J297" i="13"/>
  <c r="J298" i="13"/>
  <c r="J299" i="13"/>
  <c r="L299" i="13" s="1"/>
  <c r="F298" i="9" s="1"/>
  <c r="J300" i="13"/>
  <c r="J301" i="13"/>
  <c r="J302" i="13"/>
  <c r="L302" i="13" s="1"/>
  <c r="F301" i="9" s="1"/>
  <c r="J303" i="13"/>
  <c r="J304" i="13"/>
  <c r="J106" i="13"/>
  <c r="J105" i="13"/>
  <c r="B104" i="9"/>
  <c r="B105" i="9"/>
  <c r="C104" i="9"/>
  <c r="C105" i="9"/>
  <c r="E104" i="9"/>
  <c r="E105" i="9"/>
  <c r="B66" i="9"/>
  <c r="C66" i="9"/>
  <c r="Y66" i="9"/>
  <c r="E66"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3" i="9"/>
  <c r="C64" i="9"/>
  <c r="C65" i="9"/>
  <c r="C67" i="9"/>
  <c r="C68" i="9"/>
  <c r="C69" i="9"/>
  <c r="C70" i="9"/>
  <c r="C71" i="9"/>
  <c r="C72" i="9"/>
  <c r="C73" i="9"/>
  <c r="C74" i="9"/>
  <c r="C75" i="9"/>
  <c r="C76" i="9"/>
  <c r="C77" i="9"/>
  <c r="C78" i="9"/>
  <c r="C79" i="9"/>
  <c r="C80" i="9"/>
  <c r="C81" i="9"/>
  <c r="C82" i="9"/>
  <c r="C83" i="9"/>
  <c r="C84" i="9"/>
  <c r="C86" i="9"/>
  <c r="C87" i="9"/>
  <c r="C88" i="9"/>
  <c r="C89" i="9"/>
  <c r="C90" i="9"/>
  <c r="C91" i="9"/>
  <c r="C92" i="9"/>
  <c r="C93" i="9"/>
  <c r="C94" i="9"/>
  <c r="C95" i="9"/>
  <c r="C96" i="9"/>
  <c r="C97" i="9"/>
  <c r="C98" i="9"/>
  <c r="C99" i="9"/>
  <c r="C100" i="9"/>
  <c r="C101" i="9"/>
  <c r="C102" i="9"/>
  <c r="C103"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J7" i="13"/>
  <c r="J8" i="13"/>
  <c r="J9" i="13"/>
  <c r="J10" i="13"/>
  <c r="J11" i="13"/>
  <c r="J12" i="13"/>
  <c r="J13" i="13"/>
  <c r="J14" i="13"/>
  <c r="J15" i="13"/>
  <c r="J16" i="13"/>
  <c r="J17" i="13"/>
  <c r="J18" i="13"/>
  <c r="L18" i="13" s="1"/>
  <c r="F17" i="9" s="1"/>
  <c r="J19" i="13"/>
  <c r="J20" i="13"/>
  <c r="L20" i="13" s="1"/>
  <c r="F19" i="9" s="1"/>
  <c r="J21" i="13"/>
  <c r="L21" i="13" s="1"/>
  <c r="F20" i="9" s="1"/>
  <c r="J22" i="13"/>
  <c r="L22" i="13" s="1"/>
  <c r="F21" i="9" s="1"/>
  <c r="J23" i="13"/>
  <c r="J24" i="13"/>
  <c r="L24" i="13" s="1"/>
  <c r="F23" i="9" s="1"/>
  <c r="J25" i="13"/>
  <c r="J26" i="13"/>
  <c r="L26" i="13" s="1"/>
  <c r="F25" i="9" s="1"/>
  <c r="J27" i="13"/>
  <c r="J28" i="13"/>
  <c r="J29" i="13"/>
  <c r="L29" i="13" s="1"/>
  <c r="F28" i="9" s="1"/>
  <c r="J30" i="13"/>
  <c r="J31" i="13"/>
  <c r="J32" i="13"/>
  <c r="L32" i="13" s="1"/>
  <c r="F31" i="9" s="1"/>
  <c r="J33" i="13"/>
  <c r="J34" i="13"/>
  <c r="J35" i="13"/>
  <c r="J36" i="13"/>
  <c r="J37" i="13"/>
  <c r="L37" i="13" s="1"/>
  <c r="F36" i="9" s="1"/>
  <c r="J38" i="13"/>
  <c r="L38" i="13" s="1"/>
  <c r="F37" i="9" s="1"/>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8" i="13"/>
  <c r="J69" i="13"/>
  <c r="J70" i="13"/>
  <c r="J71" i="13"/>
  <c r="J72" i="13"/>
  <c r="J73" i="13"/>
  <c r="J74" i="13"/>
  <c r="J75" i="13"/>
  <c r="J76" i="13"/>
  <c r="J77" i="13"/>
  <c r="L77" i="13" s="1"/>
  <c r="F76" i="9" s="1"/>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Y97" i="9" l="1"/>
  <c r="F93" i="12"/>
  <c r="H93" i="12" s="1"/>
  <c r="Y85" i="9"/>
  <c r="L78" i="13"/>
  <c r="Y60" i="9"/>
  <c r="F48" i="12"/>
  <c r="H48" i="12" s="1"/>
  <c r="Y40" i="9"/>
  <c r="F32" i="12"/>
  <c r="H32" i="12" s="1"/>
  <c r="Y247" i="9"/>
  <c r="F59" i="12"/>
  <c r="H59" i="12" s="1"/>
  <c r="Y55" i="9"/>
  <c r="F51" i="12"/>
  <c r="H51" i="12" s="1"/>
  <c r="Y43" i="9"/>
  <c r="F35" i="12"/>
  <c r="H35" i="12" s="1"/>
  <c r="Y294" i="9"/>
  <c r="Y286" i="9"/>
  <c r="Y282" i="9"/>
  <c r="Y274" i="9"/>
  <c r="Y262" i="9"/>
  <c r="Y254" i="9"/>
  <c r="Y246" i="9"/>
  <c r="F238" i="12"/>
  <c r="H238" i="12" s="1"/>
  <c r="Y226" i="9"/>
  <c r="L119" i="13"/>
  <c r="L104" i="13"/>
  <c r="F95" i="12"/>
  <c r="H95" i="12" s="1"/>
  <c r="Y91" i="9"/>
  <c r="F87" i="12"/>
  <c r="H87" i="12" s="1"/>
  <c r="Y79" i="9"/>
  <c r="L76" i="13"/>
  <c r="Y71" i="9"/>
  <c r="Y62" i="9"/>
  <c r="Y54" i="9"/>
  <c r="Y50" i="9"/>
  <c r="Y46" i="9"/>
  <c r="F38" i="12"/>
  <c r="H38" i="12" s="1"/>
  <c r="Y34" i="9"/>
  <c r="L31" i="13"/>
  <c r="F105" i="12"/>
  <c r="H105" i="12" s="1"/>
  <c r="Y145" i="9"/>
  <c r="L130" i="13"/>
  <c r="L118" i="13"/>
  <c r="Y113" i="9"/>
  <c r="Y109" i="9"/>
  <c r="Y101" i="9"/>
  <c r="Y81" i="9"/>
  <c r="Y69" i="9"/>
  <c r="F56" i="12"/>
  <c r="H56" i="12" s="1"/>
  <c r="L45" i="13"/>
  <c r="Y303" i="9"/>
  <c r="Y299" i="9"/>
  <c r="F295" i="12"/>
  <c r="H295" i="12" s="1"/>
  <c r="Y291" i="9"/>
  <c r="F287" i="12"/>
  <c r="H287" i="12" s="1"/>
  <c r="Y283" i="9"/>
  <c r="Y279" i="9"/>
  <c r="Y275" i="9"/>
  <c r="Y271" i="9"/>
  <c r="L268" i="13"/>
  <c r="Y263" i="9"/>
  <c r="Y259" i="9"/>
  <c r="F255" i="12"/>
  <c r="H255" i="12" s="1"/>
  <c r="Y251" i="9"/>
  <c r="F243" i="12"/>
  <c r="H243" i="12" s="1"/>
  <c r="Y239" i="9"/>
  <c r="F235" i="12"/>
  <c r="H235" i="12" s="1"/>
  <c r="Y231" i="9"/>
  <c r="Y227" i="9"/>
  <c r="Y223" i="9"/>
  <c r="Y219" i="9"/>
  <c r="Y215" i="9"/>
  <c r="L212" i="13"/>
  <c r="Y207" i="9"/>
  <c r="Y203" i="9"/>
  <c r="L200" i="13"/>
  <c r="F195" i="12"/>
  <c r="H195" i="12" s="1"/>
  <c r="Y191" i="9"/>
  <c r="F187" i="12"/>
  <c r="H187" i="12" s="1"/>
  <c r="Y175" i="9"/>
  <c r="L172" i="13"/>
  <c r="L160" i="13"/>
  <c r="F155" i="12"/>
  <c r="H155" i="12" s="1"/>
  <c r="Y39" i="9"/>
  <c r="F302" i="12"/>
  <c r="H302" i="12" s="1"/>
  <c r="Y298" i="9"/>
  <c r="Y290" i="9"/>
  <c r="Y278" i="9"/>
  <c r="F270" i="12"/>
  <c r="H270" i="12" s="1"/>
  <c r="Y266" i="9"/>
  <c r="F258" i="12"/>
  <c r="H258" i="12" s="1"/>
  <c r="Y250" i="9"/>
  <c r="Y242" i="9"/>
  <c r="Y234" i="9"/>
  <c r="L231" i="13"/>
  <c r="Y222" i="9"/>
  <c r="F218" i="12"/>
  <c r="H218" i="12" s="1"/>
  <c r="Y102" i="9"/>
  <c r="F98" i="12"/>
  <c r="H98" i="12" s="1"/>
  <c r="Y90" i="9"/>
  <c r="Y86" i="9"/>
  <c r="Y82" i="9"/>
  <c r="Y74" i="9"/>
  <c r="Y70" i="9"/>
  <c r="F65" i="12"/>
  <c r="H65" i="12" s="1"/>
  <c r="Y216" i="9"/>
  <c r="F212" i="12"/>
  <c r="H212" i="12" s="1"/>
  <c r="Y208" i="9"/>
  <c r="Y204" i="9"/>
  <c r="Y200" i="9"/>
  <c r="Y196" i="9"/>
  <c r="Y192" i="9"/>
  <c r="F188" i="12"/>
  <c r="H188" i="12" s="1"/>
  <c r="Y184" i="9"/>
  <c r="L181" i="13"/>
  <c r="Y176" i="9"/>
  <c r="Y172" i="9"/>
  <c r="Y168" i="9"/>
  <c r="Y164" i="9"/>
  <c r="Y160" i="9"/>
  <c r="F156" i="12"/>
  <c r="H156" i="12" s="1"/>
  <c r="Y152" i="9"/>
  <c r="F144" i="12"/>
  <c r="H144" i="12" s="1"/>
  <c r="Y140" i="9"/>
  <c r="Y136" i="9"/>
  <c r="Y296" i="9"/>
  <c r="F296" i="12"/>
  <c r="H296" i="12" s="1"/>
  <c r="Y284" i="9"/>
  <c r="F284" i="12"/>
  <c r="H284" i="12" s="1"/>
  <c r="Y272" i="9"/>
  <c r="F272" i="12"/>
  <c r="H272" i="12" s="1"/>
  <c r="Y264" i="9"/>
  <c r="F264" i="12"/>
  <c r="H264" i="12" s="1"/>
  <c r="Y252" i="9"/>
  <c r="F252" i="12"/>
  <c r="H252" i="12" s="1"/>
  <c r="Y240" i="9"/>
  <c r="F240" i="12"/>
  <c r="H240" i="12" s="1"/>
  <c r="Y228" i="9"/>
  <c r="F228" i="12"/>
  <c r="H228" i="12" s="1"/>
  <c r="Y205" i="9"/>
  <c r="F205" i="12"/>
  <c r="H205" i="12" s="1"/>
  <c r="Y193" i="9"/>
  <c r="F193" i="12"/>
  <c r="H193" i="12" s="1"/>
  <c r="Y181" i="9"/>
  <c r="F181" i="12"/>
  <c r="H181" i="12" s="1"/>
  <c r="Y165" i="9"/>
  <c r="F165" i="12"/>
  <c r="H165" i="12" s="1"/>
  <c r="Y153" i="9"/>
  <c r="F153" i="12"/>
  <c r="H153" i="12" s="1"/>
  <c r="Y137" i="9"/>
  <c r="F137" i="12"/>
  <c r="H137" i="12" s="1"/>
  <c r="Y110" i="9"/>
  <c r="F110" i="12"/>
  <c r="H110" i="12" s="1"/>
  <c r="Y288" i="9"/>
  <c r="F288" i="12"/>
  <c r="H288" i="12" s="1"/>
  <c r="Y276" i="9"/>
  <c r="F276" i="12"/>
  <c r="H276" i="12" s="1"/>
  <c r="Y260" i="9"/>
  <c r="F260" i="12"/>
  <c r="H260" i="12" s="1"/>
  <c r="Y248" i="9"/>
  <c r="F248" i="12"/>
  <c r="H248" i="12" s="1"/>
  <c r="Y236" i="9"/>
  <c r="F236" i="12"/>
  <c r="H236" i="12" s="1"/>
  <c r="Y224" i="9"/>
  <c r="F224" i="12"/>
  <c r="H224" i="12" s="1"/>
  <c r="Y213" i="9"/>
  <c r="F213" i="12"/>
  <c r="H213" i="12" s="1"/>
  <c r="Y201" i="9"/>
  <c r="F201" i="12"/>
  <c r="H201" i="12" s="1"/>
  <c r="Y185" i="9"/>
  <c r="F185" i="12"/>
  <c r="H185" i="12" s="1"/>
  <c r="Y169" i="9"/>
  <c r="F169" i="12"/>
  <c r="H169" i="12" s="1"/>
  <c r="Y149" i="9"/>
  <c r="F149" i="12"/>
  <c r="H149" i="12" s="1"/>
  <c r="Y133" i="9"/>
  <c r="F133" i="12"/>
  <c r="H133" i="12" s="1"/>
  <c r="Y125" i="9"/>
  <c r="F125" i="12"/>
  <c r="H125" i="12" s="1"/>
  <c r="Y114" i="9"/>
  <c r="F114" i="12"/>
  <c r="H114" i="12" s="1"/>
  <c r="Y183" i="9"/>
  <c r="F183" i="12"/>
  <c r="H183" i="12" s="1"/>
  <c r="Y179" i="9"/>
  <c r="F179" i="12"/>
  <c r="H179" i="12" s="1"/>
  <c r="Y167" i="9"/>
  <c r="F167" i="12"/>
  <c r="H167" i="12" s="1"/>
  <c r="Y163" i="9"/>
  <c r="F163" i="12"/>
  <c r="H163" i="12" s="1"/>
  <c r="F151" i="12"/>
  <c r="H151" i="12" s="1"/>
  <c r="Y151" i="9"/>
  <c r="F147" i="12"/>
  <c r="H147" i="12" s="1"/>
  <c r="Y147" i="9"/>
  <c r="F135" i="12"/>
  <c r="H135" i="12" s="1"/>
  <c r="Y135" i="9"/>
  <c r="F131" i="12"/>
  <c r="H131" i="12" s="1"/>
  <c r="Y131" i="9"/>
  <c r="F124" i="12"/>
  <c r="H124" i="12" s="1"/>
  <c r="Y124" i="9"/>
  <c r="F120" i="12"/>
  <c r="H120" i="12" s="1"/>
  <c r="Y120" i="9"/>
  <c r="F108" i="12"/>
  <c r="H108" i="12" s="1"/>
  <c r="Y108" i="9"/>
  <c r="Y300" i="9"/>
  <c r="F300" i="12"/>
  <c r="H300" i="12" s="1"/>
  <c r="Y292" i="9"/>
  <c r="F292" i="12"/>
  <c r="H292" i="12" s="1"/>
  <c r="Y280" i="9"/>
  <c r="F280" i="12"/>
  <c r="H280" i="12" s="1"/>
  <c r="Y268" i="9"/>
  <c r="F268" i="12"/>
  <c r="H268" i="12" s="1"/>
  <c r="Y256" i="9"/>
  <c r="F256" i="12"/>
  <c r="H256" i="12" s="1"/>
  <c r="Y244" i="9"/>
  <c r="F244" i="12"/>
  <c r="H244" i="12" s="1"/>
  <c r="Y232" i="9"/>
  <c r="F232" i="12"/>
  <c r="H232" i="12" s="1"/>
  <c r="Y220" i="9"/>
  <c r="F220" i="12"/>
  <c r="H220" i="12" s="1"/>
  <c r="Y209" i="9"/>
  <c r="F209" i="12"/>
  <c r="H209" i="12" s="1"/>
  <c r="Y197" i="9"/>
  <c r="F197" i="12"/>
  <c r="H197" i="12" s="1"/>
  <c r="Y189" i="9"/>
  <c r="F189" i="12"/>
  <c r="H189" i="12" s="1"/>
  <c r="Y173" i="9"/>
  <c r="F173" i="12"/>
  <c r="H173" i="12" s="1"/>
  <c r="Y157" i="9"/>
  <c r="F157" i="12"/>
  <c r="H157" i="12" s="1"/>
  <c r="Y141" i="9"/>
  <c r="F141" i="12"/>
  <c r="H141" i="12" s="1"/>
  <c r="Y126" i="9"/>
  <c r="F126" i="12"/>
  <c r="H126" i="12" s="1"/>
  <c r="Y122" i="9"/>
  <c r="F122" i="12"/>
  <c r="H122" i="12" s="1"/>
  <c r="Y106" i="9"/>
  <c r="F106" i="12"/>
  <c r="H106" i="12" s="1"/>
  <c r="Y301" i="9"/>
  <c r="F301" i="12"/>
  <c r="H301" i="12" s="1"/>
  <c r="Y297" i="9"/>
  <c r="F297" i="12"/>
  <c r="H297" i="12" s="1"/>
  <c r="Y293" i="9"/>
  <c r="F293" i="12"/>
  <c r="H293" i="12" s="1"/>
  <c r="Y289" i="9"/>
  <c r="F289" i="12"/>
  <c r="H289" i="12" s="1"/>
  <c r="Y285" i="9"/>
  <c r="F285" i="12"/>
  <c r="H285" i="12" s="1"/>
  <c r="Y281" i="9"/>
  <c r="F281" i="12"/>
  <c r="H281" i="12" s="1"/>
  <c r="Y277" i="9"/>
  <c r="F277" i="12"/>
  <c r="H277" i="12" s="1"/>
  <c r="Y273" i="9"/>
  <c r="F273" i="12"/>
  <c r="H273" i="12" s="1"/>
  <c r="Y269" i="9"/>
  <c r="F269" i="12"/>
  <c r="H269" i="12" s="1"/>
  <c r="Y265" i="9"/>
  <c r="F265" i="12"/>
  <c r="H265" i="12" s="1"/>
  <c r="Y261" i="9"/>
  <c r="F261" i="12"/>
  <c r="H261" i="12" s="1"/>
  <c r="Y257" i="9"/>
  <c r="F257" i="12"/>
  <c r="H257" i="12" s="1"/>
  <c r="Y253" i="9"/>
  <c r="F253" i="12"/>
  <c r="H253" i="12" s="1"/>
  <c r="Y249" i="9"/>
  <c r="F249" i="12"/>
  <c r="H249" i="12" s="1"/>
  <c r="Y245" i="9"/>
  <c r="F245" i="12"/>
  <c r="H245" i="12" s="1"/>
  <c r="Y241" i="9"/>
  <c r="F241" i="12"/>
  <c r="H241" i="12" s="1"/>
  <c r="Y237" i="9"/>
  <c r="F237" i="12"/>
  <c r="H237" i="12" s="1"/>
  <c r="Y233" i="9"/>
  <c r="F233" i="12"/>
  <c r="H233" i="12" s="1"/>
  <c r="Y229" i="9"/>
  <c r="F229" i="12"/>
  <c r="H229" i="12" s="1"/>
  <c r="Y225" i="9"/>
  <c r="F225" i="12"/>
  <c r="H225" i="12" s="1"/>
  <c r="Y221" i="9"/>
  <c r="F221" i="12"/>
  <c r="H221" i="12" s="1"/>
  <c r="Y217" i="9"/>
  <c r="F217" i="12"/>
  <c r="H217" i="12" s="1"/>
  <c r="Y214" i="9"/>
  <c r="F214" i="12"/>
  <c r="H214" i="12" s="1"/>
  <c r="Y210" i="9"/>
  <c r="F210" i="12"/>
  <c r="H210" i="12" s="1"/>
  <c r="Y206" i="9"/>
  <c r="F206" i="12"/>
  <c r="H206" i="12" s="1"/>
  <c r="Y202" i="9"/>
  <c r="F202" i="12"/>
  <c r="H202" i="12" s="1"/>
  <c r="Y198" i="9"/>
  <c r="F198" i="12"/>
  <c r="H198" i="12" s="1"/>
  <c r="Y194" i="9"/>
  <c r="F194" i="12"/>
  <c r="H194" i="12" s="1"/>
  <c r="Y190" i="9"/>
  <c r="F190" i="12"/>
  <c r="H190" i="12" s="1"/>
  <c r="Y186" i="9"/>
  <c r="F186" i="12"/>
  <c r="H186" i="12" s="1"/>
  <c r="Y182" i="9"/>
  <c r="F182" i="12"/>
  <c r="H182" i="12" s="1"/>
  <c r="Y178" i="9"/>
  <c r="F178" i="12"/>
  <c r="H178" i="12" s="1"/>
  <c r="Y174" i="9"/>
  <c r="F174" i="12"/>
  <c r="H174" i="12" s="1"/>
  <c r="Y170" i="9"/>
  <c r="F170" i="12"/>
  <c r="H170" i="12" s="1"/>
  <c r="Y166" i="9"/>
  <c r="F166" i="12"/>
  <c r="H166" i="12" s="1"/>
  <c r="Y162" i="9"/>
  <c r="F162" i="12"/>
  <c r="H162" i="12" s="1"/>
  <c r="Y158" i="9"/>
  <c r="F158" i="12"/>
  <c r="H158" i="12" s="1"/>
  <c r="Y154" i="9"/>
  <c r="F154" i="12"/>
  <c r="H154" i="12" s="1"/>
  <c r="Y150" i="9"/>
  <c r="F150" i="12"/>
  <c r="H150" i="12" s="1"/>
  <c r="Y146" i="9"/>
  <c r="F146" i="12"/>
  <c r="H146" i="12" s="1"/>
  <c r="Y142" i="9"/>
  <c r="F142" i="12"/>
  <c r="H142" i="12" s="1"/>
  <c r="Y138" i="9"/>
  <c r="F138" i="12"/>
  <c r="H138" i="12" s="1"/>
  <c r="Y134" i="9"/>
  <c r="F134" i="12"/>
  <c r="H134" i="12" s="1"/>
  <c r="Y130" i="9"/>
  <c r="F130" i="12"/>
  <c r="H130" i="12" s="1"/>
  <c r="Y127" i="9"/>
  <c r="F127" i="12"/>
  <c r="H127" i="12" s="1"/>
  <c r="Y123" i="9"/>
  <c r="F123" i="12"/>
  <c r="H123" i="12" s="1"/>
  <c r="Y119" i="9"/>
  <c r="F119" i="12"/>
  <c r="H119" i="12" s="1"/>
  <c r="Y115" i="9"/>
  <c r="F115" i="12"/>
  <c r="H115" i="12" s="1"/>
  <c r="Y111" i="9"/>
  <c r="Y107" i="9"/>
  <c r="F107" i="12"/>
  <c r="H107" i="12" s="1"/>
  <c r="Y78" i="9"/>
  <c r="F78" i="12"/>
  <c r="H78" i="12" s="1"/>
  <c r="Y161" i="9"/>
  <c r="F161" i="12"/>
  <c r="H161" i="12" s="1"/>
  <c r="F86" i="12"/>
  <c r="H86" i="12" s="1"/>
  <c r="Y61" i="9"/>
  <c r="F61" i="12"/>
  <c r="H61" i="12" s="1"/>
  <c r="Y53" i="9"/>
  <c r="F53" i="12"/>
  <c r="H53" i="12" s="1"/>
  <c r="Y45" i="9"/>
  <c r="F45" i="12"/>
  <c r="H45" i="12" s="1"/>
  <c r="Y37" i="9"/>
  <c r="F37" i="12"/>
  <c r="H37" i="12" s="1"/>
  <c r="F299" i="12"/>
  <c r="H299" i="12" s="1"/>
  <c r="Y94" i="9"/>
  <c r="F94" i="12"/>
  <c r="H94" i="12" s="1"/>
  <c r="Y58" i="9"/>
  <c r="F58" i="12"/>
  <c r="H58" i="12" s="1"/>
  <c r="Y177" i="9"/>
  <c r="F177" i="12"/>
  <c r="H177" i="12" s="1"/>
  <c r="F139" i="12"/>
  <c r="H139" i="12" s="1"/>
  <c r="Y139" i="9"/>
  <c r="Y112" i="9"/>
  <c r="Y89" i="9"/>
  <c r="F89" i="12"/>
  <c r="H89" i="12" s="1"/>
  <c r="Y73" i="9"/>
  <c r="F73" i="12"/>
  <c r="H73" i="12" s="1"/>
  <c r="Y64" i="9"/>
  <c r="F64" i="12"/>
  <c r="H64" i="12" s="1"/>
  <c r="Y57" i="9"/>
  <c r="F57" i="12"/>
  <c r="H57" i="12" s="1"/>
  <c r="Y49" i="9"/>
  <c r="F49" i="12"/>
  <c r="H49" i="12" s="1"/>
  <c r="Y41" i="9"/>
  <c r="F41" i="12"/>
  <c r="H41" i="12" s="1"/>
  <c r="Y33" i="9"/>
  <c r="F33" i="12"/>
  <c r="H33" i="12" s="1"/>
  <c r="F116" i="12"/>
  <c r="H116" i="12" s="1"/>
  <c r="Y116" i="9"/>
  <c r="F85" i="12"/>
  <c r="H85" i="12" s="1"/>
  <c r="F50" i="12"/>
  <c r="H50" i="12" s="1"/>
  <c r="Y100" i="9"/>
  <c r="F100" i="12"/>
  <c r="H100" i="12" s="1"/>
  <c r="Y96" i="9"/>
  <c r="F96" i="12"/>
  <c r="H96" i="12" s="1"/>
  <c r="Y92" i="9"/>
  <c r="F92" i="12"/>
  <c r="H92" i="12" s="1"/>
  <c r="Y88" i="9"/>
  <c r="F88" i="12"/>
  <c r="H88" i="12" s="1"/>
  <c r="Y84" i="9"/>
  <c r="F84" i="12"/>
  <c r="H84" i="12" s="1"/>
  <c r="Y80" i="9"/>
  <c r="F80" i="12"/>
  <c r="H80" i="12" s="1"/>
  <c r="Y76" i="9"/>
  <c r="F76" i="12"/>
  <c r="H76" i="12" s="1"/>
  <c r="Y72" i="9"/>
  <c r="F72" i="12"/>
  <c r="H72" i="12" s="1"/>
  <c r="Y68" i="9"/>
  <c r="F68" i="12"/>
  <c r="H68" i="12" s="1"/>
  <c r="Y52" i="9"/>
  <c r="F52" i="12"/>
  <c r="H52" i="12" s="1"/>
  <c r="Y36" i="9"/>
  <c r="F36" i="12"/>
  <c r="H36" i="12" s="1"/>
  <c r="Y104" i="9"/>
  <c r="F104" i="12"/>
  <c r="H104" i="12" s="1"/>
  <c r="Y148" i="9"/>
  <c r="F148" i="12"/>
  <c r="H148" i="12" s="1"/>
  <c r="Y132" i="9"/>
  <c r="F132" i="12"/>
  <c r="H132" i="12" s="1"/>
  <c r="Y121" i="9"/>
  <c r="F121" i="12"/>
  <c r="H121" i="12" s="1"/>
  <c r="F203" i="12"/>
  <c r="H203" i="12" s="1"/>
  <c r="F82" i="12"/>
  <c r="H82" i="12" s="1"/>
  <c r="F55" i="12"/>
  <c r="H55" i="12" s="1"/>
  <c r="Y42" i="9"/>
  <c r="F42" i="12"/>
  <c r="H42" i="12" s="1"/>
  <c r="F143" i="12"/>
  <c r="H143" i="12" s="1"/>
  <c r="Y143" i="9"/>
  <c r="F278" i="12"/>
  <c r="H278" i="12" s="1"/>
  <c r="F129" i="12"/>
  <c r="H129" i="12" s="1"/>
  <c r="Y99" i="9"/>
  <c r="F99" i="12"/>
  <c r="H99" i="12" s="1"/>
  <c r="Y83" i="9"/>
  <c r="F83" i="12"/>
  <c r="H83" i="12" s="1"/>
  <c r="Y67" i="9"/>
  <c r="F67" i="12"/>
  <c r="H67" i="12" s="1"/>
  <c r="Y63" i="9"/>
  <c r="F63" i="12"/>
  <c r="H63" i="12" s="1"/>
  <c r="Y47" i="9"/>
  <c r="F47" i="12"/>
  <c r="H47" i="12" s="1"/>
  <c r="Y31" i="9"/>
  <c r="F31" i="12"/>
  <c r="H31" i="12" s="1"/>
  <c r="F140" i="12"/>
  <c r="H140" i="12" s="1"/>
  <c r="F102" i="12"/>
  <c r="H102" i="12" s="1"/>
  <c r="F39" i="12"/>
  <c r="H39" i="12" s="1"/>
  <c r="H66" i="12"/>
  <c r="J6" i="13"/>
  <c r="F171" i="9" l="1"/>
  <c r="Y171" i="9" s="1"/>
  <c r="F211" i="9"/>
  <c r="Y211" i="9" s="1"/>
  <c r="F118" i="9"/>
  <c r="Y118" i="9" s="1"/>
  <c r="F77" i="12"/>
  <c r="H77" i="12" s="1"/>
  <c r="F77" i="9"/>
  <c r="Y77" i="9" s="1"/>
  <c r="F199" i="9"/>
  <c r="Y199" i="9" s="1"/>
  <c r="F267" i="9"/>
  <c r="Y267" i="9" s="1"/>
  <c r="F180" i="12"/>
  <c r="H180" i="12" s="1"/>
  <c r="F180" i="9"/>
  <c r="Y180" i="9" s="1"/>
  <c r="F230" i="12"/>
  <c r="H230" i="12" s="1"/>
  <c r="F230" i="9"/>
  <c r="Y230" i="9" s="1"/>
  <c r="F117" i="12"/>
  <c r="H117" i="12" s="1"/>
  <c r="F117" i="9"/>
  <c r="Y117" i="9" s="1"/>
  <c r="F30" i="12"/>
  <c r="H30" i="12" s="1"/>
  <c r="F30" i="9"/>
  <c r="F75" i="12"/>
  <c r="H75" i="12" s="1"/>
  <c r="F75" i="9"/>
  <c r="Y75" i="9" s="1"/>
  <c r="F159" i="9"/>
  <c r="Y159" i="9" s="1"/>
  <c r="F44" i="9"/>
  <c r="Y44" i="9" s="1"/>
  <c r="F129" i="9"/>
  <c r="Y129" i="9" s="1"/>
  <c r="F103" i="9"/>
  <c r="Y103" i="9" s="1"/>
  <c r="F254" i="12"/>
  <c r="H254" i="12" s="1"/>
  <c r="F231" i="12"/>
  <c r="H231" i="12" s="1"/>
  <c r="F204" i="12"/>
  <c r="H204" i="12" s="1"/>
  <c r="Y128" i="9"/>
  <c r="F71" i="12"/>
  <c r="H71" i="12" s="1"/>
  <c r="F246" i="12"/>
  <c r="H246" i="12" s="1"/>
  <c r="F259" i="12"/>
  <c r="H259" i="12" s="1"/>
  <c r="F97" i="12"/>
  <c r="H97" i="12" s="1"/>
  <c r="F54" i="12"/>
  <c r="H54" i="12" s="1"/>
  <c r="F103" i="12"/>
  <c r="H103" i="12" s="1"/>
  <c r="F184" i="12"/>
  <c r="H184" i="12" s="1"/>
  <c r="F275" i="12"/>
  <c r="H275" i="12" s="1"/>
  <c r="F60" i="12"/>
  <c r="H60" i="12" s="1"/>
  <c r="F291" i="12"/>
  <c r="H291" i="12" s="1"/>
  <c r="F128" i="12"/>
  <c r="H128" i="12" s="1"/>
  <c r="F223" i="12"/>
  <c r="H223" i="12" s="1"/>
  <c r="F191" i="12"/>
  <c r="H191" i="12" s="1"/>
  <c r="F34" i="12"/>
  <c r="H34" i="12" s="1"/>
  <c r="F266" i="12"/>
  <c r="H266" i="12" s="1"/>
  <c r="F207" i="12"/>
  <c r="H207" i="12" s="1"/>
  <c r="F282" i="12"/>
  <c r="H282" i="12" s="1"/>
  <c r="F247" i="12"/>
  <c r="H247" i="12" s="1"/>
  <c r="F176" i="12"/>
  <c r="H176" i="12" s="1"/>
  <c r="F200" i="12"/>
  <c r="H200" i="12" s="1"/>
  <c r="F46" i="12"/>
  <c r="H46" i="12" s="1"/>
  <c r="F267" i="12"/>
  <c r="H267" i="12" s="1"/>
  <c r="F69" i="12"/>
  <c r="H69" i="12" s="1"/>
  <c r="F208" i="12"/>
  <c r="H208" i="12" s="1"/>
  <c r="F234" i="12"/>
  <c r="H234" i="12" s="1"/>
  <c r="F199" i="12"/>
  <c r="H199" i="12" s="1"/>
  <c r="F90" i="12"/>
  <c r="H90" i="12" s="1"/>
  <c r="F250" i="12"/>
  <c r="H250" i="12" s="1"/>
  <c r="F262" i="12"/>
  <c r="H262" i="12" s="1"/>
  <c r="F91" i="12"/>
  <c r="H91" i="12" s="1"/>
  <c r="Y105" i="9"/>
  <c r="F251" i="12"/>
  <c r="H251" i="12" s="1"/>
  <c r="F70" i="12"/>
  <c r="H70" i="12" s="1"/>
  <c r="F43" i="12"/>
  <c r="H43" i="12" s="1"/>
  <c r="F160" i="12"/>
  <c r="H160" i="12" s="1"/>
  <c r="F44" i="12"/>
  <c r="H44" i="12" s="1"/>
  <c r="F192" i="12"/>
  <c r="H192" i="12" s="1"/>
  <c r="F283" i="12"/>
  <c r="H283" i="12" s="1"/>
  <c r="F226" i="12"/>
  <c r="H226" i="12" s="1"/>
  <c r="F294" i="12"/>
  <c r="H294" i="12" s="1"/>
  <c r="F118" i="12"/>
  <c r="H118" i="12" s="1"/>
  <c r="F175" i="12"/>
  <c r="H175" i="12" s="1"/>
  <c r="F222" i="12"/>
  <c r="H222" i="12" s="1"/>
  <c r="F74" i="12"/>
  <c r="H74" i="12" s="1"/>
  <c r="F215" i="12"/>
  <c r="H215" i="12" s="1"/>
  <c r="F40" i="12"/>
  <c r="H40" i="12" s="1"/>
  <c r="F136" i="12"/>
  <c r="H136" i="12" s="1"/>
  <c r="F159" i="12"/>
  <c r="H159" i="12" s="1"/>
  <c r="F286" i="12"/>
  <c r="H286" i="12" s="1"/>
  <c r="F239" i="12"/>
  <c r="H239" i="12" s="1"/>
  <c r="F79" i="12"/>
  <c r="H79" i="12" s="1"/>
  <c r="F152" i="12"/>
  <c r="H152" i="12" s="1"/>
  <c r="F171" i="12"/>
  <c r="H171" i="12" s="1"/>
  <c r="F216" i="12"/>
  <c r="H216" i="12" s="1"/>
  <c r="F298" i="12"/>
  <c r="H298" i="12" s="1"/>
  <c r="F101" i="12"/>
  <c r="H101" i="12" s="1"/>
  <c r="F172" i="12"/>
  <c r="H172" i="12" s="1"/>
  <c r="F242" i="12"/>
  <c r="H242" i="12" s="1"/>
  <c r="F81" i="12"/>
  <c r="H81" i="12" s="1"/>
  <c r="F109" i="12"/>
  <c r="H109" i="12" s="1"/>
  <c r="F164" i="12"/>
  <c r="H164" i="12" s="1"/>
  <c r="F196" i="12"/>
  <c r="H196" i="12" s="1"/>
  <c r="F227" i="12"/>
  <c r="H227" i="12" s="1"/>
  <c r="F62" i="12"/>
  <c r="H62" i="12" s="1"/>
  <c r="F271" i="12"/>
  <c r="H271" i="12" s="1"/>
  <c r="F303" i="12"/>
  <c r="H303" i="12" s="1"/>
  <c r="F263" i="12"/>
  <c r="H263" i="12" s="1"/>
  <c r="F219" i="12"/>
  <c r="H219" i="12" s="1"/>
  <c r="F145" i="12"/>
  <c r="H145" i="12" s="1"/>
  <c r="F279" i="12"/>
  <c r="H279" i="12" s="1"/>
  <c r="F290" i="12"/>
  <c r="H290" i="12" s="1"/>
  <c r="F274" i="12"/>
  <c r="H274" i="12" s="1"/>
  <c r="F168" i="12"/>
  <c r="H168" i="12" s="1"/>
  <c r="F211" i="12"/>
  <c r="H211" i="12" s="1"/>
  <c r="Y144" i="9"/>
  <c r="Y156" i="9"/>
  <c r="Y188" i="9"/>
  <c r="Y212" i="9"/>
  <c r="Y65" i="9"/>
  <c r="Y98" i="9"/>
  <c r="Y218" i="9"/>
  <c r="Y258" i="9"/>
  <c r="Y270" i="9"/>
  <c r="Y302" i="9"/>
  <c r="Y155" i="9"/>
  <c r="Y187" i="9"/>
  <c r="Y195" i="9"/>
  <c r="Y235" i="9"/>
  <c r="Y243" i="9"/>
  <c r="Y255" i="9"/>
  <c r="Y287" i="9"/>
  <c r="Y295" i="9"/>
  <c r="Y56" i="9"/>
  <c r="Y38" i="9"/>
  <c r="Y87" i="9"/>
  <c r="Y95" i="9"/>
  <c r="Y238" i="9"/>
  <c r="Y35" i="9"/>
  <c r="Y51" i="9"/>
  <c r="Y59" i="9"/>
  <c r="Y32" i="9"/>
  <c r="Y48" i="9"/>
  <c r="Y93" i="9"/>
  <c r="W80" i="9"/>
  <c r="W76" i="9"/>
  <c r="W72" i="9"/>
  <c r="W68" i="9"/>
  <c r="W60" i="9"/>
  <c r="W56" i="9"/>
  <c r="W52" i="9"/>
  <c r="W48" i="9"/>
  <c r="W44" i="9"/>
  <c r="W40" i="9"/>
  <c r="W36" i="9"/>
  <c r="W32" i="9"/>
  <c r="W28" i="9"/>
  <c r="W24" i="9"/>
  <c r="W20" i="9"/>
  <c r="W16" i="9"/>
  <c r="W12" i="9"/>
  <c r="W9" i="9"/>
  <c r="W79" i="9"/>
  <c r="W75" i="9"/>
  <c r="W71" i="9"/>
  <c r="W67" i="9"/>
  <c r="W63" i="9"/>
  <c r="W59" i="9"/>
  <c r="W55" i="9"/>
  <c r="W51" i="9"/>
  <c r="W47" i="9"/>
  <c r="W43" i="9"/>
  <c r="W39" i="9"/>
  <c r="W35" i="9"/>
  <c r="W31" i="9"/>
  <c r="W27" i="9"/>
  <c r="W19" i="9"/>
  <c r="W15" i="9"/>
  <c r="W11" i="9"/>
  <c r="W8" i="9"/>
  <c r="W78" i="9"/>
  <c r="W74" i="9"/>
  <c r="W70" i="9"/>
  <c r="W65" i="9"/>
  <c r="W62" i="9"/>
  <c r="W58" i="9"/>
  <c r="W54" i="9"/>
  <c r="W50" i="9"/>
  <c r="W46" i="9"/>
  <c r="W42" i="9"/>
  <c r="W38" i="9"/>
  <c r="W34" i="9"/>
  <c r="W30" i="9"/>
  <c r="W26" i="9"/>
  <c r="W22" i="9"/>
  <c r="W18" i="9"/>
  <c r="W14" i="9"/>
  <c r="W7" i="9"/>
  <c r="W77" i="9"/>
  <c r="W73" i="9"/>
  <c r="W69" i="9"/>
  <c r="W64" i="9"/>
  <c r="W61" i="9"/>
  <c r="W57" i="9"/>
  <c r="W53" i="9"/>
  <c r="W49" i="9"/>
  <c r="W45" i="9"/>
  <c r="W41" i="9"/>
  <c r="W37" i="9"/>
  <c r="W33" i="9"/>
  <c r="W29" i="9"/>
  <c r="W25" i="9"/>
  <c r="W21" i="9"/>
  <c r="W17" i="9"/>
  <c r="W13" i="9"/>
  <c r="W10" i="9"/>
  <c r="W6" i="9"/>
  <c r="C6" i="9"/>
  <c r="C7" i="9"/>
  <c r="C8" i="9"/>
  <c r="C9" i="9"/>
  <c r="C10" i="9"/>
  <c r="C11" i="9"/>
  <c r="C12" i="9"/>
  <c r="C13" i="9"/>
  <c r="C14" i="9"/>
  <c r="C15" i="9"/>
  <c r="C16" i="9"/>
  <c r="C17" i="9"/>
  <c r="C18" i="9"/>
  <c r="C19" i="9"/>
  <c r="C20" i="9"/>
  <c r="C21" i="9"/>
  <c r="C22" i="9"/>
  <c r="C23" i="9"/>
  <c r="C24" i="9"/>
  <c r="C25" i="9"/>
  <c r="C26" i="9"/>
  <c r="C27" i="9"/>
  <c r="C28" i="9"/>
  <c r="C29" i="9"/>
  <c r="C5" i="9"/>
  <c r="Y6" i="9" l="1"/>
  <c r="Y7" i="9"/>
  <c r="Y8" i="9"/>
  <c r="Y9" i="9"/>
  <c r="Y10" i="9"/>
  <c r="Y11" i="9"/>
  <c r="Y12" i="9"/>
  <c r="Y13" i="9"/>
  <c r="Y14" i="9"/>
  <c r="Y15" i="9"/>
  <c r="Y16" i="9"/>
  <c r="Y17" i="9"/>
  <c r="Y18" i="9"/>
  <c r="Y19" i="9"/>
  <c r="Y20" i="9"/>
  <c r="Y21" i="9"/>
  <c r="Y22" i="9"/>
  <c r="Y23" i="9"/>
  <c r="Y24" i="9"/>
  <c r="Y25" i="9"/>
  <c r="Y26" i="9"/>
  <c r="Y27" i="9"/>
  <c r="Y28" i="9"/>
  <c r="Y29" i="9"/>
  <c r="Y30" i="9"/>
  <c r="F7" i="12" l="1"/>
  <c r="F8" i="12"/>
  <c r="F9" i="12"/>
  <c r="F10" i="12"/>
  <c r="F11" i="12"/>
  <c r="F12" i="12"/>
  <c r="F13" i="12"/>
  <c r="F14" i="12"/>
  <c r="F15" i="12"/>
  <c r="F16" i="12"/>
  <c r="F17" i="12"/>
  <c r="F18" i="12"/>
  <c r="F19" i="12"/>
  <c r="F20" i="12"/>
  <c r="F21" i="12"/>
  <c r="F22" i="12"/>
  <c r="F23" i="12"/>
  <c r="F24" i="12"/>
  <c r="F25" i="12"/>
  <c r="F26" i="12"/>
  <c r="F27" i="12"/>
  <c r="F28" i="12"/>
  <c r="F29" i="12"/>
  <c r="E13" i="9" l="1"/>
  <c r="E6" i="9" l="1"/>
  <c r="E7" i="9"/>
  <c r="E8" i="9"/>
  <c r="E9" i="9"/>
  <c r="E10" i="9"/>
  <c r="E11" i="9"/>
  <c r="E12" i="9"/>
  <c r="E14" i="9"/>
  <c r="E15" i="9"/>
  <c r="E16" i="9"/>
  <c r="E17" i="9"/>
  <c r="E18" i="9"/>
  <c r="E19" i="9"/>
  <c r="E20" i="9"/>
  <c r="E21" i="9"/>
  <c r="E22" i="9"/>
  <c r="E23" i="9"/>
  <c r="E24" i="9"/>
  <c r="E25" i="9"/>
  <c r="E26" i="9"/>
  <c r="E27" i="9"/>
  <c r="E28" i="9"/>
  <c r="E29" i="9"/>
  <c r="E30" i="9"/>
  <c r="H29" i="12" l="1"/>
  <c r="D6" i="12"/>
  <c r="D7" i="12"/>
  <c r="D8" i="12"/>
  <c r="D9" i="12"/>
  <c r="D10" i="12"/>
  <c r="D11" i="12"/>
  <c r="D12" i="12"/>
  <c r="D13" i="12"/>
  <c r="D14" i="12"/>
  <c r="D15" i="12"/>
  <c r="D16" i="12"/>
  <c r="D17" i="12"/>
  <c r="D18" i="12"/>
  <c r="D19" i="12"/>
  <c r="D20" i="12"/>
  <c r="D21" i="12"/>
  <c r="D22" i="12"/>
  <c r="D23" i="12"/>
  <c r="D24" i="12"/>
  <c r="D25" i="12"/>
  <c r="D26" i="12"/>
  <c r="D27" i="12"/>
  <c r="D28" i="12"/>
  <c r="D29" i="12"/>
  <c r="C6" i="12"/>
  <c r="C7" i="12"/>
  <c r="C8" i="12"/>
  <c r="C9" i="12"/>
  <c r="C10" i="12"/>
  <c r="C11" i="12"/>
  <c r="C12" i="12"/>
  <c r="C13" i="12"/>
  <c r="C14" i="12"/>
  <c r="C15" i="12"/>
  <c r="C16" i="12"/>
  <c r="C17" i="12"/>
  <c r="C18" i="12"/>
  <c r="C19" i="12"/>
  <c r="C20" i="12"/>
  <c r="C21" i="12"/>
  <c r="C22" i="12"/>
  <c r="C23" i="12"/>
  <c r="C24" i="12"/>
  <c r="C25" i="12"/>
  <c r="C26" i="12"/>
  <c r="C27" i="12"/>
  <c r="C28" i="12"/>
  <c r="C29" i="12"/>
  <c r="B6" i="12"/>
  <c r="B7" i="12"/>
  <c r="B8" i="12"/>
  <c r="B9" i="12"/>
  <c r="B10" i="12"/>
  <c r="B11" i="12"/>
  <c r="B12" i="12"/>
  <c r="B13" i="12"/>
  <c r="B14" i="12"/>
  <c r="B15" i="12"/>
  <c r="B16" i="12"/>
  <c r="B17" i="12"/>
  <c r="B18" i="12"/>
  <c r="B19" i="12"/>
  <c r="B20" i="12"/>
  <c r="B21" i="12"/>
  <c r="B22" i="12"/>
  <c r="B23" i="12"/>
  <c r="B24" i="12"/>
  <c r="B25" i="12"/>
  <c r="B26" i="12"/>
  <c r="B27" i="12"/>
  <c r="B28" i="12"/>
  <c r="B29" i="12"/>
  <c r="B5" i="9"/>
  <c r="C5" i="12"/>
  <c r="B5" i="12"/>
  <c r="A3" i="9"/>
  <c r="H17" i="12" l="1"/>
  <c r="H13" i="12"/>
  <c r="H20" i="12"/>
  <c r="H16" i="12"/>
  <c r="H25" i="12"/>
  <c r="H27" i="12"/>
  <c r="H21" i="12"/>
  <c r="H22" i="12"/>
  <c r="H18" i="12"/>
  <c r="H14" i="12"/>
  <c r="H7" i="12"/>
  <c r="H28" i="12"/>
  <c r="H23" i="12"/>
  <c r="H19" i="12"/>
  <c r="H15" i="12"/>
  <c r="H12" i="12"/>
  <c r="H11" i="12"/>
  <c r="H10" i="12"/>
  <c r="H9" i="12"/>
  <c r="H24" i="12"/>
  <c r="H8" i="12"/>
  <c r="H26" i="12"/>
  <c r="H6" i="12"/>
  <c r="E5" i="9" l="1"/>
  <c r="Y5" i="9" l="1"/>
  <c r="V351" i="9" s="1"/>
  <c r="F5" i="12"/>
  <c r="H5" i="12" s="1"/>
  <c r="H351" i="12" s="1"/>
  <c r="D5" i="12"/>
  <c r="V5" i="9"/>
  <c r="AD5" i="9" l="1"/>
  <c r="AE5" i="9"/>
  <c r="AC5" i="9"/>
  <c r="W5" i="9" s="1"/>
</calcChain>
</file>

<file path=xl/comments1.xml><?xml version="1.0" encoding="utf-8"?>
<comments xmlns="http://schemas.openxmlformats.org/spreadsheetml/2006/main">
  <authors>
    <author>teste toritama</author>
  </authors>
  <commentList>
    <comment ref="D103" authorId="0" shapeId="0">
      <text>
        <r>
          <rPr>
            <b/>
            <sz val="9"/>
            <color indexed="81"/>
            <rFont val="Segoe UI"/>
            <family val="2"/>
          </rPr>
          <t>teste toritama:</t>
        </r>
        <r>
          <rPr>
            <sz val="9"/>
            <color indexed="81"/>
            <rFont val="Segoe UI"/>
            <family val="2"/>
          </rPr>
          <t xml:space="preserve">
MUDAR PESQUISA PARA UNIDADE. 
</t>
        </r>
      </text>
    </comment>
  </commentList>
</comments>
</file>

<file path=xl/sharedStrings.xml><?xml version="1.0" encoding="utf-8"?>
<sst xmlns="http://schemas.openxmlformats.org/spreadsheetml/2006/main" count="3782" uniqueCount="957">
  <si>
    <t>ITEM</t>
  </si>
  <si>
    <t>CATMAT</t>
  </si>
  <si>
    <t>DESCRIÇÃO</t>
  </si>
  <si>
    <t>QUANT.</t>
  </si>
  <si>
    <t>VALOR UNITÁRIO MÁXIMO</t>
  </si>
  <si>
    <t>VALOR TOTAL</t>
  </si>
  <si>
    <t>PESO</t>
  </si>
  <si>
    <t>VALOR</t>
  </si>
  <si>
    <t>UNIDADE DE MEDIDA</t>
  </si>
  <si>
    <t>APÊNDICE II
TERMO DE REFERÊNCIA
MEMÓRIA DE CÁLCULO</t>
  </si>
  <si>
    <t>QUANTIDADES (a)</t>
  </si>
  <si>
    <t>Técnicas de previsão de demanda utilizadas:</t>
  </si>
  <si>
    <t>Foi utilizada mediante informações qualitativas, tais como pesquisas de opinião e informações prestadas por funcionários.</t>
  </si>
  <si>
    <t>Foi utilizada nos casos em que é possível a aplicação da técnica quantitativa, que prima unicamente pelo tratamento de dados de uma série histórica de consumo, de forma a obter a previsão para períodos subsequentes.</t>
  </si>
  <si>
    <t>[1] Os formulários preenchidos sobre a técnica de predileção constam em anexo.</t>
  </si>
  <si>
    <t>[3] Os relatórios que demonstram a série histórica constam em anexo.</t>
  </si>
  <si>
    <t>SKU</t>
  </si>
  <si>
    <t>TOTAL</t>
  </si>
  <si>
    <t>DESCRITIVO RESUMIDO</t>
  </si>
  <si>
    <t>APÊNDICE III
TERMO DE REFERÊNCIA
MAPA DE PREÇOS</t>
  </si>
  <si>
    <t>DESVIO PADRÃO</t>
  </si>
  <si>
    <t>MÉDIA SIMPLES</t>
  </si>
  <si>
    <t>MEDIANA</t>
  </si>
  <si>
    <t>LIMITE INFERIOR</t>
  </si>
  <si>
    <t>LIMITE SUPERIOR</t>
  </si>
  <si>
    <t>COEFICIENTE DE VARIAÇÃO (máx. 25%)</t>
  </si>
  <si>
    <t>FONTE/
REFERÊNCIA
(COLUNA 1)</t>
  </si>
  <si>
    <t>FONTE/
REFERÊNCIA
(COLUNA 3)</t>
  </si>
  <si>
    <t>FONTE/
REFERÊNCIA
(COLUNA 4)</t>
  </si>
  <si>
    <t>FONTE/
REFERÊNCIA
(COLUNA 5)</t>
  </si>
  <si>
    <t>COEFICIENTE DE VARIAÇÃO</t>
  </si>
  <si>
    <t>-</t>
  </si>
  <si>
    <t xml:space="preserve">VALOR TOTAL </t>
  </si>
  <si>
    <t>MARGEM DE SEGURANÇA (b)</t>
  </si>
  <si>
    <t>FATOR DE MULTIPLICAÇÃO
(b.1)</t>
  </si>
  <si>
    <t>PERCENTUAL
(b.2)</t>
  </si>
  <si>
    <t>TOTAL GERAL
(d)
= a.2 x b.1</t>
  </si>
  <si>
    <t>MÉDIA PONDERADA</t>
  </si>
  <si>
    <t>Foi utilizada para descobrir o valor médio de um conjunto de dados sem que haja grandes distorções no seu resultado.</t>
  </si>
  <si>
    <t>VALOR MÁXIMO UNITÁRIO</t>
  </si>
  <si>
    <t>CO2</t>
  </si>
  <si>
    <t>OXIGÊNIO</t>
  </si>
  <si>
    <r>
      <t>PREDILEÇÃO</t>
    </r>
    <r>
      <rPr>
        <b/>
        <vertAlign val="superscript"/>
        <sz val="10"/>
        <color rgb="FF000000"/>
        <rFont val="Arial Narrow"/>
        <family val="2"/>
      </rPr>
      <t>[1]</t>
    </r>
    <r>
      <rPr>
        <b/>
        <sz val="10"/>
        <color rgb="FF000000"/>
        <rFont val="Arial Narrow"/>
        <family val="2"/>
      </rPr>
      <t>:</t>
    </r>
  </si>
  <si>
    <r>
      <t>PROJEÇÃO</t>
    </r>
    <r>
      <rPr>
        <b/>
        <vertAlign val="superscript"/>
        <sz val="10"/>
        <color rgb="FF000000"/>
        <rFont val="Arial Narrow"/>
        <family val="2"/>
      </rPr>
      <t>[3]</t>
    </r>
    <r>
      <rPr>
        <b/>
        <sz val="10"/>
        <color rgb="FF000000"/>
        <rFont val="Arial Narrow"/>
        <family val="2"/>
      </rPr>
      <t>:</t>
    </r>
  </si>
  <si>
    <t>KIT</t>
  </si>
  <si>
    <t>UNIDADE</t>
  </si>
  <si>
    <t>CAIXA</t>
  </si>
  <si>
    <t>CONJUNTO</t>
  </si>
  <si>
    <t>PACOTE</t>
  </si>
  <si>
    <t>APÊNDICE I
TERMO DE REFERÊNCIA
MEMÓRIA DE CÁLCULO</t>
  </si>
  <si>
    <t>PAR</t>
  </si>
  <si>
    <t>FRASCO</t>
  </si>
  <si>
    <r>
      <rPr>
        <b/>
        <sz val="10"/>
        <color rgb="FF000000"/>
        <rFont val="Arial Narrow"/>
        <family val="2"/>
      </rPr>
      <t>Ácidos graxos essenciais -</t>
    </r>
    <r>
      <rPr>
        <sz val="10"/>
        <color rgb="FF000000"/>
        <rFont val="Arial Narrow"/>
        <family val="2"/>
      </rPr>
      <t xml:space="preserve"> componentes: óleo de girassol, linolêico, lecitina de soja, associados com vitaminas "A" E "E", composição: composto dos ácidos caprílico, cáprico, láurico, tipo: loção oleosa, apresentação:</t>
    </r>
    <r>
      <rPr>
        <b/>
        <sz val="10"/>
        <color rgb="FF000000"/>
        <rFont val="Arial Narrow"/>
        <family val="2"/>
      </rPr>
      <t xml:space="preserve"> </t>
    </r>
    <r>
      <rPr>
        <sz val="10"/>
        <color rgb="FF000000"/>
        <rFont val="Arial Narrow"/>
        <family val="2"/>
      </rPr>
      <t>frasco com 100 ml, características adicionais: embalagem contendo externamente dados de identificação e procedência, lote, validade e registro em órgão competente.</t>
    </r>
  </si>
  <si>
    <r>
      <t xml:space="preserve">Absorvente higiênico externo - </t>
    </r>
    <r>
      <rPr>
        <sz val="10"/>
        <color rgb="FF000000"/>
        <rFont val="Arial Narrow"/>
        <family val="2"/>
      </rPr>
      <t xml:space="preserve"> descartável, uso: feminino, adulto, pacote com no mínimo 08 unidades, com abas, fluxo: normal, cobertura: suave, formato anatômico, com canais laterais, absorção eficiente. Embalagem contendo externamente dados de identificação e procedência, data de fabricação, lote e registro em órgão competente. </t>
    </r>
  </si>
  <si>
    <r>
      <rPr>
        <b/>
        <sz val="10"/>
        <color theme="1"/>
        <rFont val="Arial Narrow"/>
        <family val="2"/>
      </rPr>
      <t>Ácido paracético -</t>
    </r>
    <r>
      <rPr>
        <sz val="10"/>
        <color theme="1"/>
        <rFont val="Arial Narrow"/>
        <family val="2"/>
      </rPr>
      <t xml:space="preserve"> concentração: PH 5 à 8,5</t>
    </r>
    <r>
      <rPr>
        <b/>
        <sz val="10"/>
        <color theme="1"/>
        <rFont val="Arial Narrow"/>
        <family val="2"/>
      </rPr>
      <t xml:space="preserve">  </t>
    </r>
    <r>
      <rPr>
        <sz val="10"/>
        <color theme="1"/>
        <rFont val="Arial Narrow"/>
        <family val="2"/>
      </rPr>
      <t>capacidade: 5 litros, forma física: solução aquosa, características adicionais: desinfetante esterilizante ácido paracético, baixa toxicidade e não corrosino para metais ferroso e não ferroso, com registro ANVISA.</t>
    </r>
  </si>
  <si>
    <r>
      <rPr>
        <b/>
        <sz val="10"/>
        <color rgb="FF000000"/>
        <rFont val="Arial Narrow"/>
        <family val="2"/>
      </rPr>
      <t xml:space="preserve">Álcool etílico - </t>
    </r>
    <r>
      <rPr>
        <sz val="10"/>
        <color rgb="FF000000"/>
        <rFont val="Arial Narrow"/>
        <family val="2"/>
      </rPr>
      <t>teor alcoólico: 70% (70°) apresentação:</t>
    </r>
    <r>
      <rPr>
        <b/>
        <sz val="10"/>
        <color rgb="FF000000"/>
        <rFont val="Arial Narrow"/>
        <family val="2"/>
      </rPr>
      <t xml:space="preserve"> </t>
    </r>
    <r>
      <rPr>
        <sz val="10"/>
        <color rgb="FF000000"/>
        <rFont val="Arial Narrow"/>
        <family val="2"/>
      </rPr>
      <t>líquido, tipo: hidratado, capacidade: frasco com 1 litro, características adicionais: embalagem com dados de identificação e procedência, data de fabricação, tempo de validade e registro em órgão competente.</t>
    </r>
  </si>
  <si>
    <r>
      <rPr>
        <b/>
        <sz val="10"/>
        <color rgb="FF000000"/>
        <rFont val="Arial Narrow"/>
        <family val="2"/>
      </rPr>
      <t>Agulha hipodérmica -</t>
    </r>
    <r>
      <rPr>
        <sz val="10"/>
        <color rgb="FF000000"/>
        <rFont val="Arial Narrow"/>
        <family val="2"/>
      </rPr>
      <t xml:space="preserve"> uso: descartável, dimensão: 13x4,5mm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</si>
  <si>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r>
      <rPr>
        <b/>
        <sz val="10"/>
        <color rgb="FF000000"/>
        <rFont val="Arial Narrow"/>
        <family val="2"/>
      </rPr>
      <t xml:space="preserve">Agulha hipodérmica - </t>
    </r>
    <r>
      <rPr>
        <sz val="10"/>
        <color rgb="FF000000"/>
        <rFont val="Arial Narrow"/>
        <family val="2"/>
      </rPr>
      <t>uso: descartável, dimensão: 25x7mm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</si>
  <si>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r>
      <rPr>
        <b/>
        <sz val="10"/>
        <color rgb="FF000000"/>
        <rFont val="Arial Narrow"/>
        <family val="2"/>
      </rPr>
      <t>Agulha hipodérmica -</t>
    </r>
    <r>
      <rPr>
        <sz val="10"/>
        <color rgb="FF000000"/>
        <rFont val="Arial Narrow"/>
        <family val="2"/>
      </rPr>
      <t xml:space="preserve"> uso: descartável, dimensão: 25x8mm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</si>
  <si>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r>
      <rPr>
        <b/>
        <sz val="10"/>
        <color rgb="FF000000"/>
        <rFont val="Arial Narrow"/>
        <family val="2"/>
      </rPr>
      <t xml:space="preserve">Agulha hipodérmica - </t>
    </r>
    <r>
      <rPr>
        <sz val="10"/>
        <color rgb="FF000000"/>
        <rFont val="Arial Narrow"/>
        <family val="2"/>
      </rPr>
      <t>uso: descartável, dimensão: 0,55x20mm, 24G 3/4 -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</si>
  <si>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t>ROLO</t>
  </si>
  <si>
    <r>
      <rPr>
        <b/>
        <sz val="10"/>
        <color rgb="FF000000"/>
        <rFont val="Arial Narrow"/>
        <family val="2"/>
      </rPr>
      <t>Agulha hipodérmica -</t>
    </r>
    <r>
      <rPr>
        <sz val="10"/>
        <color rgb="FF000000"/>
        <rFont val="Arial Narrow"/>
        <family val="2"/>
      </rPr>
      <t xml:space="preserve"> uso: descartável, dimensão: 0,60x25mm, 23G 1''-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</si>
  <si>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r>
      <rPr>
        <b/>
        <sz val="10"/>
        <color rgb="FF000000"/>
        <rFont val="Arial Narrow"/>
        <family val="2"/>
      </rPr>
      <t>Agulha hipodérmica -</t>
    </r>
    <r>
      <rPr>
        <sz val="10"/>
        <color rgb="FF000000"/>
        <rFont val="Arial Narrow"/>
        <family val="2"/>
      </rPr>
      <t xml:space="preserve"> uso: descartável, dimensão: 13x0,38mm, (27G X1/2),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t>
    </r>
  </si>
  <si>
    <r>
      <rPr>
        <b/>
        <sz val="10"/>
        <color rgb="FF000000"/>
        <rFont val="Arial Narrow"/>
        <family val="2"/>
      </rPr>
      <t>Algodão, tipo: hidrófilo -</t>
    </r>
    <r>
      <rPr>
        <sz val="10"/>
        <color rgb="FF000000"/>
        <rFont val="Arial Narrow"/>
        <family val="2"/>
      </rPr>
      <t xml:space="preserve"> apresentação: pacote com rolo de 500 g, medidas: mínimo de 20 cm de largura, características adicionais: manta fina, com camadas sobrepostas, formando uma manta de espessura uniforme, regularmente compacto, de aspecto homogêneo e macio, cor branca, boa capacidade de absorção, inodoro, em forma de rolo, enrolado em papel apropriado em toda a sua  extensão. Embalagem contendo externamente dados de identificação e procedência, lote validade e registro de isenção no Ministério da Saúde.</t>
    </r>
  </si>
  <si>
    <r>
      <rPr>
        <b/>
        <sz val="10"/>
        <color rgb="FF000000"/>
        <rFont val="Arial Narrow"/>
        <family val="2"/>
      </rPr>
      <t>Algodão, tipo:ortopédico -</t>
    </r>
    <r>
      <rPr>
        <sz val="10"/>
        <color rgb="FF000000"/>
        <rFont val="Arial Narrow"/>
        <family val="2"/>
      </rPr>
      <t xml:space="preserve"> medidas: 20 cm de largura, 1,80 m de comprimento, apresentação: pacote com rolo de 420g, confeccionado com fibras de puro algodão, com camadas contínuas em forma de rolo, provido de papel em toda a sua extensão, cor natural da fibra do algodão, com relativa impermeabilidade. Embalagem individual contendo externamente dados de identificação e procedência, lote, validade e registro de isenção no Ministério da Saúde. </t>
    </r>
  </si>
  <si>
    <r>
      <rPr>
        <b/>
        <sz val="10"/>
        <color rgb="FF000000"/>
        <rFont val="Arial Narrow"/>
        <family val="2"/>
      </rPr>
      <t>Atadura, tipo: crepe -</t>
    </r>
    <r>
      <rPr>
        <sz val="10"/>
        <color rgb="FF000000"/>
        <rFont val="Arial Narrow"/>
        <family val="2"/>
      </rPr>
      <t xml:space="preserve"> medidas: 10 cm de largura e 1,8 m de comprimento em repouso, gramatura: contendo 13 fios / CM2, material: confeccionada em tecido de algodão cru ou componentes sintéticos da melhor qualidade, características adicionais</t>
    </r>
    <r>
      <rPr>
        <b/>
        <sz val="10"/>
        <color rgb="FF000000"/>
        <rFont val="Arial Narrow"/>
        <family val="2"/>
      </rPr>
      <t xml:space="preserve">: </t>
    </r>
    <r>
      <rPr>
        <sz val="10"/>
        <color rgb="FF000000"/>
        <rFont val="Arial Narrow"/>
        <family val="2"/>
      </rPr>
      <t>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t>
    </r>
  </si>
  <si>
    <r>
      <rPr>
        <b/>
        <sz val="10"/>
        <color rgb="FF000000"/>
        <rFont val="Arial Narrow"/>
        <family val="2"/>
      </rPr>
      <t xml:space="preserve">Atadura, tipo: crepe - </t>
    </r>
    <r>
      <rPr>
        <sz val="10"/>
        <color rgb="FF000000"/>
        <rFont val="Arial Narrow"/>
        <family val="2"/>
      </rPr>
      <t>medidas: 15 cm de largura e 1,8 m</t>
    </r>
    <r>
      <rPr>
        <b/>
        <sz val="10"/>
        <color rgb="FF000000"/>
        <rFont val="Arial Narrow"/>
        <family val="2"/>
      </rPr>
      <t xml:space="preserve"> </t>
    </r>
    <r>
      <rPr>
        <sz val="10"/>
        <color rgb="FF000000"/>
        <rFont val="Arial Narrow"/>
        <family val="2"/>
      </rPr>
      <t>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t>
    </r>
  </si>
  <si>
    <r>
      <rPr>
        <b/>
        <sz val="10"/>
        <color rgb="FF000000"/>
        <rFont val="Arial Narrow"/>
        <family val="2"/>
      </rPr>
      <t xml:space="preserve">Atadura, tipo: crepe - </t>
    </r>
    <r>
      <rPr>
        <sz val="10"/>
        <color rgb="FF000000"/>
        <rFont val="Arial Narrow"/>
        <family val="2"/>
      </rPr>
      <t>medidas: 20 cm de largura e 1,8 m de comprimento em repouso</t>
    </r>
    <r>
      <rPr>
        <b/>
        <sz val="10"/>
        <color rgb="FF000000"/>
        <rFont val="Arial Narrow"/>
        <family val="2"/>
      </rPr>
      <t xml:space="preserve">, </t>
    </r>
    <r>
      <rPr>
        <sz val="10"/>
        <color rgb="FF000000"/>
        <rFont val="Arial Narrow"/>
        <family val="2"/>
      </rPr>
      <t>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t>
    </r>
  </si>
  <si>
    <r>
      <rPr>
        <b/>
        <sz val="10"/>
        <color rgb="FF000000"/>
        <rFont val="Arial Narrow"/>
        <family val="2"/>
      </rPr>
      <t xml:space="preserve">Atadura, tipo: gessada - </t>
    </r>
    <r>
      <rPr>
        <sz val="10"/>
        <color rgb="FF000000"/>
        <rFont val="Arial Narrow"/>
        <family val="2"/>
      </rPr>
      <t xml:space="preserve">medidas: 10 cm de largura e 3,0 m,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t>
    </r>
  </si>
  <si>
    <r>
      <rPr>
        <b/>
        <sz val="10"/>
        <color rgb="FF000000"/>
        <rFont val="Arial Narrow"/>
        <family val="2"/>
      </rPr>
      <t>Atadura, tipo: gessada -</t>
    </r>
    <r>
      <rPr>
        <sz val="10"/>
        <color rgb="FF000000"/>
        <rFont val="Arial Narrow"/>
        <family val="2"/>
      </rPr>
      <t xml:space="preserve"> medidas: 15 cm de largura e 3,0 m</t>
    </r>
    <r>
      <rPr>
        <b/>
        <sz val="10"/>
        <color rgb="FF000000"/>
        <rFont val="Arial Narrow"/>
        <family val="2"/>
      </rPr>
      <t xml:space="preserve">, </t>
    </r>
    <r>
      <rPr>
        <sz val="10"/>
        <color rgb="FF000000"/>
        <rFont val="Arial Narrow"/>
        <family val="2"/>
      </rPr>
      <t xml:space="preserve">de comprimento, gaze estabilizada, impregnada com gesso coloidal e com lateral de corte sinuoso para evitar desfiamento e consequentemente o garroteamento na aplicação, sem emendas, na cor branca, saturável com água a temperatura de 2,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t>
    </r>
  </si>
  <si>
    <r>
      <rPr>
        <b/>
        <sz val="10"/>
        <color theme="1"/>
        <rFont val="Arial Narrow"/>
        <family val="2"/>
      </rPr>
      <t xml:space="preserve">Atadura, tipo: gessada - </t>
    </r>
    <r>
      <rPr>
        <sz val="10"/>
        <color theme="1"/>
        <rFont val="Arial Narrow"/>
        <family val="2"/>
      </rPr>
      <t>medidas: 20 cm de largura e 4,0 m</t>
    </r>
    <r>
      <rPr>
        <b/>
        <sz val="10"/>
        <color theme="1"/>
        <rFont val="Arial Narrow"/>
        <family val="2"/>
      </rPr>
      <t>,</t>
    </r>
    <r>
      <rPr>
        <sz val="10"/>
        <color theme="1"/>
        <rFont val="Arial Narrow"/>
        <family val="2"/>
      </rPr>
      <t xml:space="preserve">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t>
    </r>
  </si>
  <si>
    <r>
      <rPr>
        <b/>
        <sz val="10"/>
        <color theme="1"/>
        <rFont val="Arial Narrow"/>
        <family val="2"/>
      </rPr>
      <t xml:space="preserve">Abaixador de língua - </t>
    </r>
    <r>
      <rPr>
        <sz val="10"/>
        <color theme="1"/>
        <rFont val="Arial Narrow"/>
        <family val="2"/>
      </rPr>
      <t xml:space="preserve">material: madeira, tipo: descartável de uso único, formato: espátula convencional com extremidade arredondada, sem rebarbas, dimensões aproximadas: largura: 1,4cm, comprimento: 14cm, espessura: 0,5mm, apresentação: pacote com 100 unidades, características adicionais: Embalagem contendo dados de identificação, procedência, lote, validade e registro em órgão competente.  </t>
    </r>
  </si>
  <si>
    <r>
      <rPr>
        <b/>
        <sz val="10"/>
        <color theme="1"/>
        <rFont val="Arial Narrow"/>
        <family val="2"/>
      </rPr>
      <t>Ambú reanimador, tamanho: adulto,</t>
    </r>
    <r>
      <rPr>
        <sz val="10"/>
        <color theme="1"/>
        <rFont val="Arial Narrow"/>
        <family val="2"/>
      </rPr>
      <t xml:space="preserve"> material: silicone transparente, características: com reservatório de O2., de 1500 a 1700ml, com balão de insuflação transparente facilita o uso, a assepsia e a visualização de resíduos. Embalagem contendo data de validade, dados de identificação e registro no Ministério da Saúde. </t>
    </r>
  </si>
  <si>
    <r>
      <rPr>
        <b/>
        <sz val="10"/>
        <color theme="1"/>
        <rFont val="Arial Narrow"/>
        <family val="2"/>
      </rPr>
      <t xml:space="preserve">Ambú reanimador - </t>
    </r>
    <r>
      <rPr>
        <sz val="10"/>
        <color theme="1"/>
        <rFont val="Arial Narrow"/>
        <family val="2"/>
      </rPr>
      <t>tamanho: infantil,</t>
    </r>
    <r>
      <rPr>
        <b/>
        <sz val="10"/>
        <color theme="1"/>
        <rFont val="Arial Narrow"/>
        <family val="2"/>
      </rPr>
      <t xml:space="preserve"> </t>
    </r>
    <r>
      <rPr>
        <sz val="10"/>
        <color theme="1"/>
        <rFont val="Arial Narrow"/>
        <family val="2"/>
      </rPr>
      <t>material: silicone transparente, características: com reservatório de O2.,de 1500ml, com balão de insuflação transparente facilita o uso, a assepsia e a visualização de resíduos. Embalagem contendo data de validade, dados de identificação e registro no Ministério da Saúde.</t>
    </r>
  </si>
  <si>
    <r>
      <rPr>
        <b/>
        <sz val="10"/>
        <color theme="1"/>
        <rFont val="Arial Narrow"/>
        <family val="2"/>
      </rPr>
      <t xml:space="preserve">Avental hospitalar - </t>
    </r>
    <r>
      <rPr>
        <sz val="10"/>
        <color theme="1"/>
        <rFont val="Arial Narrow"/>
        <family val="2"/>
      </rPr>
      <t>tipo: descartável</t>
    </r>
    <r>
      <rPr>
        <b/>
        <sz val="10"/>
        <color theme="1"/>
        <rFont val="Arial Narrow"/>
        <family val="2"/>
      </rPr>
      <t xml:space="preserve">, </t>
    </r>
    <r>
      <rPr>
        <sz val="10"/>
        <color theme="1"/>
        <rFont val="Arial Narrow"/>
        <family val="2"/>
      </rPr>
      <t xml:space="preserve">material: TNT, gramatura: 40 G, modelo: manga longa, tamanho: único. </t>
    </r>
  </si>
  <si>
    <r>
      <rPr>
        <b/>
        <sz val="10"/>
        <color rgb="FF000000"/>
        <rFont val="Arial Narrow"/>
        <family val="2"/>
      </rPr>
      <t xml:space="preserve">Bolsa para colostomia fechada - </t>
    </r>
    <r>
      <rPr>
        <sz val="10"/>
        <color rgb="FF000000"/>
        <rFont val="Arial Narrow"/>
        <family val="2"/>
      </rPr>
      <t>opaca recortável 19-64 mm. Descartável com orifício 19-64 mm -confeccionada em plástico, adesivo hipoalergênico recortável de 19mm a 64 mm. Com proteção ante odor, drenável com clipe de selagem individual, com adesivo micropore e placa com protetor cutâneo hipoalergênico. Embalagem contendo externamente dados de identificação e procedência, data de fabricação, lote e registro em órgão competente.</t>
    </r>
  </si>
  <si>
    <r>
      <rPr>
        <b/>
        <sz val="10"/>
        <color theme="1"/>
        <rFont val="Arial Narrow"/>
        <family val="2"/>
      </rPr>
      <t>Bolsa coletora de urina -</t>
    </r>
    <r>
      <rPr>
        <sz val="10"/>
        <color theme="1"/>
        <rFont val="Arial Narrow"/>
        <family val="2"/>
      </rPr>
      <t xml:space="preserve"> tipo: infantil, uso: descartável, modelo: unissex, características adicionais: com furo recortado no modelo unissex com furo oval, com fita adesiva dupla face, hipoalérgica, resistente e que não desprende do conjunto, composto por saco com comprimento de 17 cm e largura de 10 cm, com um furo pré-cortado e com película protetora não aderente e destacável.</t>
    </r>
  </si>
  <si>
    <r>
      <rPr>
        <b/>
        <sz val="10"/>
        <color theme="1"/>
        <rFont val="Arial Narrow"/>
        <family val="2"/>
      </rPr>
      <t xml:space="preserve">Bolsa para colostomia com disco - </t>
    </r>
    <r>
      <rPr>
        <sz val="10"/>
        <color theme="1"/>
        <rFont val="Arial Narrow"/>
        <family val="2"/>
      </rPr>
      <t>transparente, medidas aproximadas: de 20 à 70mm, apresentação: pacote com 10 unidades.</t>
    </r>
  </si>
  <si>
    <r>
      <rPr>
        <b/>
        <sz val="10"/>
        <color rgb="FF000000"/>
        <rFont val="Arial Narrow"/>
        <family val="2"/>
      </rPr>
      <t>Bolsa para ampola -</t>
    </r>
    <r>
      <rPr>
        <sz val="10"/>
        <color rgb="FF000000"/>
        <rFont val="Arial Narrow"/>
        <family val="2"/>
      </rPr>
      <t xml:space="preserve"> material: nylon 600</t>
    </r>
    <r>
      <rPr>
        <b/>
        <sz val="10"/>
        <color rgb="FF000000"/>
        <rFont val="Arial Narrow"/>
        <family val="2"/>
      </rPr>
      <t xml:space="preserve">, </t>
    </r>
    <r>
      <rPr>
        <sz val="10"/>
        <color rgb="FF000000"/>
        <rFont val="Arial Narrow"/>
        <family val="2"/>
      </rPr>
      <t>dimensões aproximadas: 45cm x 33cm, características adicionais: revestido com plástico transparente para proteção contra água e sujeiras, portando fitas refletivas na frente e nas costas e diversos bolsos distribuídos na bolsa, padrão SAMU.</t>
    </r>
  </si>
  <si>
    <r>
      <rPr>
        <b/>
        <sz val="10"/>
        <color rgb="FF000000"/>
        <rFont val="Arial Narrow"/>
        <family val="2"/>
      </rPr>
      <t xml:space="preserve">Bolsa para equipamentos de sinais vitais - </t>
    </r>
    <r>
      <rPr>
        <sz val="10"/>
        <color rgb="FF000000"/>
        <rFont val="Arial Narrow"/>
        <family val="2"/>
      </rPr>
      <t>material: nylon, dimensões aproximadas</t>
    </r>
    <r>
      <rPr>
        <sz val="10"/>
        <rFont val="Arial Narrow"/>
        <family val="2"/>
      </rPr>
      <t>: 10cm de largura, 41cm de comprimento, 28cm de altura.</t>
    </r>
  </si>
  <si>
    <r>
      <rPr>
        <b/>
        <sz val="10"/>
        <color rgb="FF000000"/>
        <rFont val="Arial Narrow"/>
        <family val="2"/>
      </rPr>
      <t xml:space="preserve">Bolsa para resgate - </t>
    </r>
    <r>
      <rPr>
        <sz val="10"/>
        <color rgb="FF000000"/>
        <rFont val="Arial Narrow"/>
        <family val="2"/>
      </rPr>
      <t>material: Nylon, resistente, características adicionais: cor laranja e azul, desenvolvida com tecido resistente e 90% impermeável, com alça de mão, cursores de abertura total e compartimentos nas laterais.</t>
    </r>
  </si>
  <si>
    <r>
      <rPr>
        <b/>
        <sz val="10"/>
        <color rgb="FF000000"/>
        <rFont val="Arial Narrow"/>
        <family val="2"/>
      </rPr>
      <t xml:space="preserve">Cadeira de rodas - </t>
    </r>
    <r>
      <rPr>
        <sz val="10"/>
        <color rgb="FF000000"/>
        <rFont val="Arial Narrow"/>
        <family val="2"/>
      </rPr>
      <t>com assento e encosto em nylon, dobrável em x, com apoio para os braços e os pés, rodas traseiras tipo: aro 24" com pneus de borracha maciço e aro da roda fabricado em  alumínio, aro impulsor acoplado, rodas dianteira tamanho:6" maciços , freios bilaterais, Com capacidade máxima de 120KG</t>
    </r>
  </si>
  <si>
    <r>
      <rPr>
        <b/>
        <sz val="10"/>
        <color rgb="FF000000"/>
        <rFont val="Arial Narrow"/>
        <family val="2"/>
      </rPr>
      <t xml:space="preserve">Colchão pneumático inflável - </t>
    </r>
    <r>
      <rPr>
        <sz val="10"/>
        <color rgb="FF000000"/>
        <rFont val="Arial Narrow"/>
        <family val="2"/>
      </rPr>
      <t xml:space="preserve">com capacidade de até 135Kg, com compressor de Ar 220v, material: pvc, medidas aproximadas: 1,84 x 0,90 cm, -Impermeável. </t>
    </r>
  </si>
  <si>
    <r>
      <rPr>
        <b/>
        <sz val="10"/>
        <color rgb="FF000000"/>
        <rFont val="Arial Narrow"/>
        <family val="2"/>
      </rPr>
      <t>Compressa hospitalar -</t>
    </r>
    <r>
      <rPr>
        <sz val="10"/>
        <color rgb="FF000000"/>
        <rFont val="Arial Narrow"/>
        <family val="2"/>
      </rPr>
      <t xml:space="preserve"> tipo: cirúrgica, material: 100% algodão, dimensões: cerca de 45x50cm, com cordão identificador, esterilidade: uso único, pacote com 50 unidades.</t>
    </r>
  </si>
  <si>
    <r>
      <rPr>
        <b/>
        <sz val="10"/>
        <color rgb="FF000000"/>
        <rFont val="Arial Narrow"/>
        <family val="2"/>
      </rPr>
      <t>Conjunto de cintos para pranchas -</t>
    </r>
    <r>
      <rPr>
        <sz val="10"/>
        <color rgb="FF000000"/>
        <rFont val="Arial Narrow"/>
        <family val="2"/>
      </rPr>
      <t xml:space="preserve"> medidas</t>
    </r>
    <r>
      <rPr>
        <b/>
        <sz val="10"/>
        <color rgb="FF000000"/>
        <rFont val="Arial Narrow"/>
        <family val="2"/>
      </rPr>
      <t xml:space="preserve">: </t>
    </r>
    <r>
      <rPr>
        <sz val="10"/>
        <color rgb="FF000000"/>
        <rFont val="Arial Narrow"/>
        <family val="2"/>
      </rPr>
      <t xml:space="preserve">aproximadamente 1,50 de comprimento e 5 cm de largura, material:  nylon características adicionais: contendo 3 tirantes para fixação na prancha de resgate, com fechos ajustáveis de engate rápido. </t>
    </r>
  </si>
  <si>
    <r>
      <rPr>
        <b/>
        <sz val="10"/>
        <color rgb="FF000000"/>
        <rFont val="Arial Narrow"/>
        <family val="2"/>
      </rPr>
      <t>Clorexidina Digluconato -</t>
    </r>
    <r>
      <rPr>
        <sz val="10"/>
        <color rgb="FF000000"/>
        <rFont val="Arial Narrow"/>
        <family val="2"/>
      </rPr>
      <t xml:space="preserve"> aplicação: solução degermante, dosagem: 2%, capacidade: frasco com 1 litro, características adicionais: antisséptico degermante a base de clorexidina, concentrado de 2,0% associado a tensoativo, acondicionada em recipiente de plástico adaptável a suporte próprio para dispensação asséptica. Embalagem contendo externamente dados de identificação e procedência, lote, prazo de validade e registro em órgão competente. </t>
    </r>
  </si>
  <si>
    <r>
      <rPr>
        <b/>
        <sz val="10"/>
        <color rgb="FF000000"/>
        <rFont val="Arial Narrow"/>
        <family val="2"/>
      </rPr>
      <t>Clorexidina Digluconato -</t>
    </r>
    <r>
      <rPr>
        <sz val="10"/>
        <color rgb="FF000000"/>
        <rFont val="Arial Narrow"/>
        <family val="2"/>
      </rPr>
      <t xml:space="preserve"> aplicação: solução tópica aquosa, dosagem: 0,2 %</t>
    </r>
    <r>
      <rPr>
        <b/>
        <sz val="10"/>
        <color rgb="FF000000"/>
        <rFont val="Arial Narrow"/>
        <family val="2"/>
      </rPr>
      <t>,</t>
    </r>
    <r>
      <rPr>
        <sz val="10"/>
        <color rgb="FF000000"/>
        <rFont val="Arial Narrow"/>
        <family val="2"/>
      </rPr>
      <t xml:space="preserve"> capacidade: frasco com 1 litro, antisséptico a base de clorexidina, concentrado de 0,2% associado a tensoativo, acondicionada em recipiente de plástico adaptável a suporte próprio para dispensação asséptica. Embalagem contendo externamente dados de identificação e procedência, lote, prazo de validade e registro em órgão competente.</t>
    </r>
  </si>
  <si>
    <r>
      <rPr>
        <b/>
        <sz val="10"/>
        <color rgb="FF000000"/>
        <rFont val="Arial Narrow"/>
        <family val="2"/>
      </rPr>
      <t xml:space="preserve">Clorexidina Digluconato - </t>
    </r>
    <r>
      <rPr>
        <sz val="10"/>
        <color rgb="FF000000"/>
        <rFont val="Arial Narrow"/>
        <family val="2"/>
      </rPr>
      <t>aplicação: solução alcoólica, dosagem: 0,5%, capacidade: frasco com 1 litro, antisséptico a base de clorexidina, concentrado de 0,5% associado a tensoativo, acondicionada em recipiente de plástico adaptável a suporte próprio para dispensação asséptica. Embalagem contendo externamente dados de identificação e procedência, lote, prazo de validade e registro em órgão competente.</t>
    </r>
  </si>
  <si>
    <r>
      <rPr>
        <b/>
        <sz val="10"/>
        <color rgb="FF000000"/>
        <rFont val="Arial Narrow"/>
        <family val="2"/>
      </rPr>
      <t xml:space="preserve">Cateter central duplo lúmen - </t>
    </r>
    <r>
      <rPr>
        <sz val="10"/>
        <color rgb="FF000000"/>
        <rFont val="Arial Narrow"/>
        <family val="2"/>
      </rPr>
      <t>Aplicação: para acesso vascular central tamanho: 7 FR X 20 CM , em poliuretano com lumens internos 14 G /8 G e capacidade de fluxo de 4150 ML/H no lúmen distal e 1030 ML/H no lúmen proximal , marcações de comprimento com divisões em centímetros no corpo do cateter , ponta atraumática e flexível e pinça corta fluxo nas extensões, contendo: dilatador de vasos; guia metálica 0,035x 60 cm com ponta no formato de “j” com avançador anatômico, seringa 5 ml; agulha introdutora 18 g x 70 mm; tampa protetora com membrana auto cicatrizante, clamp de fixação móvel para o cateter, uso: agulha punção,dilatador.</t>
    </r>
  </si>
  <si>
    <r>
      <rPr>
        <b/>
        <sz val="10"/>
        <color rgb="FF000000"/>
        <rFont val="Arial Narrow"/>
        <family val="2"/>
      </rPr>
      <t>Cateter para venopunção nº 14 G -</t>
    </r>
    <r>
      <rPr>
        <sz val="10"/>
        <color rgb="FF000000"/>
        <rFont val="Arial Narrow"/>
        <family val="2"/>
      </rPr>
      <t xml:space="preserve"> com dispositivo de segurança atendendo a norma NR 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t>
    </r>
  </si>
  <si>
    <r>
      <rPr>
        <b/>
        <sz val="10"/>
        <color rgb="FF000000"/>
        <rFont val="Arial Narrow"/>
        <family val="2"/>
      </rPr>
      <t>Cateter para venopunção nº 16 G -</t>
    </r>
    <r>
      <rPr>
        <sz val="10"/>
        <color rgb="FF000000"/>
        <rFont val="Arial Narrow"/>
        <family val="2"/>
      </rPr>
      <t xml:space="preserve">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t>
    </r>
  </si>
  <si>
    <r>
      <rPr>
        <b/>
        <sz val="10"/>
        <color rgb="FF000000"/>
        <rFont val="Arial Narrow"/>
        <family val="2"/>
      </rPr>
      <t xml:space="preserve">Cateter  para venopunção nº 18 G - </t>
    </r>
    <r>
      <rPr>
        <sz val="10"/>
        <color rgb="FF000000"/>
        <rFont val="Arial Narrow"/>
        <family val="2"/>
      </rPr>
      <t>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t>
    </r>
  </si>
  <si>
    <r>
      <rPr>
        <b/>
        <sz val="10"/>
        <color rgb="FF000000"/>
        <rFont val="Arial Narrow"/>
        <family val="2"/>
      </rPr>
      <t>Cateter para venopunção nº 20 G -</t>
    </r>
    <r>
      <rPr>
        <sz val="10"/>
        <color rgb="FF000000"/>
        <rFont val="Arial Narrow"/>
        <family val="2"/>
      </rPr>
      <t xml:space="preserve">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 </t>
    </r>
  </si>
  <si>
    <r>
      <rPr>
        <b/>
        <sz val="10"/>
        <color rgb="FF000000"/>
        <rFont val="Arial Narrow"/>
        <family val="2"/>
      </rPr>
      <t xml:space="preserve">Cateter intravenoso para acesso periférico nº 22 G - </t>
    </r>
    <r>
      <rPr>
        <sz val="10"/>
        <color rgb="FF000000"/>
        <rFont val="Arial Narrow"/>
        <family val="2"/>
      </rPr>
      <t>com dispositivo de segurança atendendo a Norma NR32 aprovada pela Portaria MTE 485 de 11/11/2005,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t>
    </r>
  </si>
  <si>
    <r>
      <rPr>
        <b/>
        <sz val="10"/>
        <color rgb="FF000000"/>
        <rFont val="Arial Narrow"/>
        <family val="2"/>
      </rPr>
      <t>Cateter para venopunção nº 24 G -</t>
    </r>
    <r>
      <rPr>
        <sz val="10"/>
        <color rgb="FF000000"/>
        <rFont val="Arial Narrow"/>
        <family val="2"/>
      </rPr>
      <t xml:space="preserve"> com dispositivo de segurança atendendo a norma NR32 aprovada pela portaria MTE 485 de 11/11/200,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t>
    </r>
  </si>
  <si>
    <r>
      <rPr>
        <b/>
        <sz val="10"/>
        <color rgb="FF000000"/>
        <rFont val="Arial Narrow"/>
        <family val="2"/>
      </rPr>
      <t>Campo cirúrgico -</t>
    </r>
    <r>
      <rPr>
        <sz val="10"/>
        <color rgb="FF000000"/>
        <rFont val="Arial Narrow"/>
        <family val="2"/>
      </rPr>
      <t xml:space="preserve"> tipo: fenestrado de 8 à 10 cm, dimensão: 0,50x,0,50 cm, gramatura: cerca de 200 G/M2</t>
    </r>
    <r>
      <rPr>
        <b/>
        <sz val="10"/>
        <color rgb="FF000000"/>
        <rFont val="Arial Narrow"/>
        <family val="2"/>
      </rPr>
      <t>,</t>
    </r>
    <r>
      <rPr>
        <sz val="10"/>
        <color rgb="FF000000"/>
        <rFont val="Arial Narrow"/>
        <family val="2"/>
      </rPr>
      <t xml:space="preserve"> material: tecido 100% algodão, características adicionais: kit com 10 unidades, embalagem contendo dados de identificação e procedência, lote e registro em órgão competente.</t>
    </r>
  </si>
  <si>
    <r>
      <rPr>
        <b/>
        <sz val="10"/>
        <color rgb="FF000000"/>
        <rFont val="Arial Narrow"/>
        <family val="2"/>
      </rPr>
      <t xml:space="preserve">Campo cirúrgico - </t>
    </r>
    <r>
      <rPr>
        <sz val="10"/>
        <color rgb="FF000000"/>
        <rFont val="Arial Narrow"/>
        <family val="2"/>
      </rPr>
      <t>tipo: fenestrado de 8 à 10 cm, dimensão: 0,80x,0,80 cm, gramatura: cerca de 200 G/M2, material: tecido 100% algodão, características adicionais: kit com 10 unidades, embalagem contendo dados de identificação e procedência, lote e registro em órgão competente.</t>
    </r>
  </si>
  <si>
    <r>
      <rPr>
        <b/>
        <sz val="10"/>
        <color rgb="FF000000"/>
        <rFont val="Arial Narrow"/>
        <family val="2"/>
      </rPr>
      <t>Campo cirúrgico -</t>
    </r>
    <r>
      <rPr>
        <sz val="10"/>
        <color rgb="FF000000"/>
        <rFont val="Arial Narrow"/>
        <family val="2"/>
      </rPr>
      <t xml:space="preserve"> tipo: sem fenestra, dimensão: 1,60x1,60 cm, gramatura: cerca de 200 G/M2, material: tecido 100% algodão, características adicionais: kit com 10 unidades, embalagem contendo dados de identificação e procedência, lote e registro em órgão competente.</t>
    </r>
  </si>
  <si>
    <r>
      <rPr>
        <b/>
        <sz val="10"/>
        <color rgb="FF000000"/>
        <rFont val="Arial Narrow"/>
        <family val="2"/>
      </rPr>
      <t>Compressa de gaze -</t>
    </r>
    <r>
      <rPr>
        <sz val="10"/>
        <color rgb="FF000000"/>
        <rFont val="Arial Narrow"/>
        <family val="2"/>
      </rPr>
      <t xml:space="preserve"> medidas: 7,5 cm de largura e 7,5 cm de comprimento fechadas; 15 cm de largura e 30 cm de comprimento aberta, material: 100% algodão, tipo: 11 fios, características adicionais: estéril, descartável, com tecido tipo tela de algodão da melhor qualidade, tecido altamente absorvente, macio e agradável, isento de impurezas, com dobras para dentro da compressa, especialmente tratado para fins cirúrgicos e curativos, pacote com 10 unidades. Embalagem contendo dados de identificação e procedência e registro em órgão competente. </t>
    </r>
  </si>
  <si>
    <r>
      <rPr>
        <b/>
        <sz val="10"/>
        <color rgb="FF000000"/>
        <rFont val="Arial Narrow"/>
        <family val="2"/>
      </rPr>
      <t xml:space="preserve">Compressa cirúrgica - </t>
    </r>
    <r>
      <rPr>
        <sz val="10"/>
        <color rgb="FF000000"/>
        <rFont val="Arial Narrow"/>
        <family val="2"/>
      </rPr>
      <t xml:space="preserve">dimensões: 25 x 28 cm, material: 100% algodão, características adicionais: campo operatório, com cadarço duplo, pré lavada, estéril, em tecido quadruplo sobreposto tipo tela com placa radiopaca, contento 55 a 60% de sulfato de bário ou com fio radiopaco, tecido  fechado nas extremidades com costura para reforçar os mesmo e evitar e seu desfiamento. Embalagem contendo dados de identificação e procedência e registro em órgão competente. </t>
    </r>
  </si>
  <si>
    <r>
      <rPr>
        <b/>
        <sz val="10"/>
        <color rgb="FF000000"/>
        <rFont val="Arial Narrow"/>
        <family val="2"/>
      </rPr>
      <t xml:space="preserve">Cateter - </t>
    </r>
    <r>
      <rPr>
        <sz val="10"/>
        <color rgb="FF000000"/>
        <rFont val="Arial Narrow"/>
        <family val="2"/>
      </rPr>
      <t>aplicação: nasal para oxigênio, tipo óculos, tamanho: adulto</t>
    </r>
    <r>
      <rPr>
        <b/>
        <sz val="10"/>
        <color rgb="FF000000"/>
        <rFont val="Arial Narrow"/>
        <family val="2"/>
      </rPr>
      <t>,</t>
    </r>
    <r>
      <rPr>
        <b/>
        <sz val="10"/>
        <rFont val="Arial Narrow"/>
        <family val="2"/>
      </rPr>
      <t xml:space="preserve"> </t>
    </r>
    <r>
      <rPr>
        <sz val="10"/>
        <rFont val="Arial Narrow"/>
        <family val="2"/>
      </rPr>
      <t xml:space="preserve">material: PVC atóxico siliconado, </t>
    </r>
    <r>
      <rPr>
        <sz val="10"/>
        <color rgb="FF000000"/>
        <rFont val="Arial Narrow"/>
        <family val="2"/>
      </rPr>
      <t>características adicionais: flexível, descartável, anatômica, com sistema de fixação que não cause desconforto ao paciente. Embalagem individual estéril, com dados de identificação e procedência, data, tipo de esterilização e data de validade.</t>
    </r>
  </si>
  <si>
    <r>
      <rPr>
        <b/>
        <sz val="10"/>
        <color rgb="FF000000"/>
        <rFont val="Arial Narrow"/>
        <family val="2"/>
      </rPr>
      <t xml:space="preserve">Cateter - </t>
    </r>
    <r>
      <rPr>
        <sz val="10"/>
        <color rgb="FF000000"/>
        <rFont val="Arial Narrow"/>
        <family val="2"/>
      </rPr>
      <t>aplicação: nasal para oxigênio, tipo óculos, tamanho: infantil</t>
    </r>
    <r>
      <rPr>
        <b/>
        <sz val="10"/>
        <color rgb="FF000000"/>
        <rFont val="Arial Narrow"/>
        <family val="2"/>
      </rPr>
      <t>,</t>
    </r>
    <r>
      <rPr>
        <sz val="10"/>
        <color rgb="FF000000"/>
        <rFont val="Arial Narrow"/>
        <family val="2"/>
      </rPr>
      <t xml:space="preserve"> material:</t>
    </r>
    <r>
      <rPr>
        <sz val="10"/>
        <rFont val="Arial Narrow"/>
        <family val="2"/>
      </rPr>
      <t xml:space="preserve"> PVC atóxico siliconado, </t>
    </r>
    <r>
      <rPr>
        <sz val="10"/>
        <color rgb="FF000000"/>
        <rFont val="Arial Narrow"/>
        <family val="2"/>
      </rPr>
      <t>características adicionais: flexível, descartável, anatômica, com sistema de fixação que não cause desconforto ao paciente. Embalagem individual estéril, com dados de identificação e procedência, data, tipo de esterilização e data de validade.</t>
    </r>
  </si>
  <si>
    <r>
      <rPr>
        <b/>
        <sz val="10"/>
        <color rgb="FF000000"/>
        <rFont val="Arial Narrow"/>
        <family val="2"/>
      </rPr>
      <t>Cânula orofaríngea Guedel -</t>
    </r>
    <r>
      <rPr>
        <sz val="10"/>
        <color rgb="FF000000"/>
        <rFont val="Arial Narrow"/>
        <family val="2"/>
      </rPr>
      <t xml:space="preserve"> tamanho: nº 0,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</si>
  <si>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Cânula orofaríngea Guedel -</t>
    </r>
    <r>
      <rPr>
        <sz val="10"/>
        <color rgb="FF000000"/>
        <rFont val="Arial Narrow"/>
        <family val="2"/>
      </rPr>
      <t xml:space="preserve"> tamanho: nº 1,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</si>
  <si>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Cânula orofaríngea Guedel -</t>
    </r>
    <r>
      <rPr>
        <sz val="10"/>
        <color rgb="FF000000"/>
        <rFont val="Arial Narrow"/>
        <family val="2"/>
      </rPr>
      <t xml:space="preserve"> tamanho: nº 2,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</si>
  <si>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Cânula orofaríngea Guedel -</t>
    </r>
    <r>
      <rPr>
        <sz val="10"/>
        <color rgb="FF000000"/>
        <rFont val="Arial Narrow"/>
        <family val="2"/>
      </rPr>
      <t xml:space="preserve"> tamanho: nº 3,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</si>
  <si>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 xml:space="preserve">Cânula orofaríngea Guedel - </t>
    </r>
    <r>
      <rPr>
        <sz val="10"/>
        <color rgb="FF000000"/>
        <rFont val="Arial Narrow"/>
        <family val="2"/>
      </rPr>
      <t>tamanho: nº 4</t>
    </r>
    <r>
      <rPr>
        <b/>
        <sz val="10"/>
        <color rgb="FF000000"/>
        <rFont val="Arial Narrow"/>
        <family val="2"/>
      </rPr>
      <t>,</t>
    </r>
    <r>
      <rPr>
        <sz val="10"/>
        <color rgb="FF000000"/>
        <rFont val="Arial Narrow"/>
        <family val="2"/>
      </rPr>
      <t xml:space="preserve">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</si>
  <si>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Cânula orofaríngea Guedel -</t>
    </r>
    <r>
      <rPr>
        <sz val="10"/>
        <color rgb="FF000000"/>
        <rFont val="Arial Narrow"/>
        <family val="2"/>
      </rPr>
      <t xml:space="preserve"> tamanho: nº 5</t>
    </r>
    <r>
      <rPr>
        <b/>
        <sz val="10"/>
        <color rgb="FF000000"/>
        <rFont val="Arial Narrow"/>
        <family val="2"/>
      </rPr>
      <t>,</t>
    </r>
    <r>
      <rPr>
        <sz val="10"/>
        <color rgb="FF000000"/>
        <rFont val="Arial Narrow"/>
        <family val="2"/>
      </rPr>
      <t xml:space="preserve">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t>
    </r>
  </si>
  <si>
    <r>
      <rPr>
        <b/>
        <sz val="10"/>
        <color rgb="FF000000"/>
        <rFont val="Arial Narrow"/>
        <family val="2"/>
      </rPr>
      <t xml:space="preserve">Coletor de urina - </t>
    </r>
    <r>
      <rPr>
        <sz val="10"/>
        <color rgb="FF000000"/>
        <rFont val="Arial Narrow"/>
        <family val="2"/>
      </rPr>
      <t>tipo: sistema fechado, material: pvc, capacidade: 2.000 ML, dimensões mínimas: 1,20 M de comprimento e 0,9 cm de diâmetro interno, características adicionais: bolsa coletora confeccionada em material resistente, branco opaco na face posterior, branco transparente na face anterior, com selagem segura, com válvula anti refluxo e filtro de ar, sistema de fluxo contínuo de drenagem e esvaziamento, tubo de esvaziamento com sistema prático de fixação à bolsa, clamp de fechamento firme e seguro ao manuseio, tubo de drenagem branco transparente, firme, adaptador de sonda escalonada, confeccionado de material rígido, com alça rígida tipo óculos para fixação e tira para transporte, estéril. Embalagem individual de papel grau cirúrgico ou com filme termoplástico, contendo externamente dados de identificação e procedência, data e tipo de esterilização, prazo de validade e registro em órgão competente.</t>
    </r>
  </si>
  <si>
    <r>
      <rPr>
        <b/>
        <sz val="10"/>
        <color rgb="FF000000"/>
        <rFont val="Arial Narrow"/>
        <family val="2"/>
      </rPr>
      <t>Clamp umbilical -</t>
    </r>
    <r>
      <rPr>
        <sz val="10"/>
        <color rgb="FF000000"/>
        <rFont val="Arial Narrow"/>
        <family val="2"/>
      </rPr>
      <t xml:space="preserve"> material: resina de engenharia resistente, esterilidade: estéril, descartável, características adicionais: em embalagem individual de papel grau cirúrgico, que permita abertura asséptica, contendo dados de identificação e procedência, lote, data e tipo de esterilização, prazo de validade e registro em órgão competente.</t>
    </r>
  </si>
  <si>
    <t>GALÃO</t>
  </si>
  <si>
    <r>
      <rPr>
        <b/>
        <sz val="10"/>
        <color rgb="FF000000"/>
        <rFont val="Arial Narrow"/>
        <family val="2"/>
      </rPr>
      <t xml:space="preserve">Coletor material pérfuro-cortante - </t>
    </r>
    <r>
      <rPr>
        <sz val="10"/>
        <color rgb="FF000000"/>
        <rFont val="Arial Narrow"/>
        <family val="2"/>
      </rPr>
      <t>tipo: caixa, material: papelão rígido, capacidade: 7 litros, tipo uso: descartável, características adicionais: fabricada dentro das normas atuais da NBR 13853, alça dupla para transporte, trava de segurança, embalagem contendo externamente dados de identificação, informações, procedência, lote e registro em órgão competente.</t>
    </r>
  </si>
  <si>
    <r>
      <rPr>
        <b/>
        <sz val="10"/>
        <color rgb="FF000000"/>
        <rFont val="Arial Narrow"/>
        <family val="2"/>
      </rPr>
      <t>Coletor material pérfuro-cortante -</t>
    </r>
    <r>
      <rPr>
        <sz val="10"/>
        <color rgb="FF000000"/>
        <rFont val="Arial Narrow"/>
        <family val="2"/>
      </rPr>
      <t xml:space="preserve"> tipo: caixa, material: papelão rígido, capacidade: 13 litros, tipo uso: descartável, características adicionais: fabricada dentro das normas atuais da NBR 13853, alça dupla para transporte, trava de segurança, embalagem contendo externamente dados de identificação, informações, procedência, lote e registro em órgão competente.</t>
    </r>
  </si>
  <si>
    <r>
      <rPr>
        <b/>
        <sz val="10"/>
        <color rgb="FF000000"/>
        <rFont val="Arial Narrow"/>
        <family val="2"/>
      </rPr>
      <t xml:space="preserve">Coletor material pérfuro-cortante - </t>
    </r>
    <r>
      <rPr>
        <sz val="10"/>
        <color rgb="FF000000"/>
        <rFont val="Arial Narrow"/>
        <family val="2"/>
      </rPr>
      <t>tipo: caixa, material: papelão rígido, capacidade: 20 litros, tipo uso: descartável, características adicionais: fabricada dentro das normas atuais da NBR 13853, alça dupla para transporte, trava de segurança, embalagem contendo externamente dados de identificação, informações, procedência, lote e registro em órgão competente.</t>
    </r>
  </si>
  <si>
    <r>
      <rPr>
        <b/>
        <sz val="10"/>
        <color rgb="FF000000"/>
        <rFont val="Arial Narrow"/>
        <family val="2"/>
      </rPr>
      <t xml:space="preserve">Cuba uso hospitalar - </t>
    </r>
    <r>
      <rPr>
        <sz val="10"/>
        <color rgb="FF000000"/>
        <rFont val="Arial Narrow"/>
        <family val="2"/>
      </rPr>
      <t>formato: tipo rim, dimensões: 26 x 12 cm, material: aço inoxidável, capacidade: 700 ml, características adicionais: embalagem constando os dados de identificação e registro em órgão competente.</t>
    </r>
  </si>
  <si>
    <r>
      <rPr>
        <b/>
        <sz val="10"/>
        <color rgb="FF000000"/>
        <rFont val="Arial Narrow"/>
        <family val="2"/>
      </rPr>
      <t xml:space="preserve">Cobertura para óbito - </t>
    </r>
    <r>
      <rPr>
        <sz val="10"/>
        <color rgb="FF000000"/>
        <rFont val="Arial Narrow"/>
        <family val="2"/>
      </rPr>
      <t>material: polietileno de baixa densidade (PEBD), tamanho: pequeno, características adicionais: com zíper frontal por toda sua extensão, utilizado para envolver o cadáver, isolando-o do contato com o ambiente para evitar contaminação.</t>
    </r>
  </si>
  <si>
    <r>
      <rPr>
        <b/>
        <sz val="10"/>
        <color theme="1"/>
        <rFont val="Arial Narrow"/>
        <family val="2"/>
      </rPr>
      <t>Cobertura para óbito -</t>
    </r>
    <r>
      <rPr>
        <sz val="10"/>
        <color theme="1"/>
        <rFont val="Arial Narrow"/>
        <family val="2"/>
      </rPr>
      <t xml:space="preserve"> material: polietileno de baixa densidade (PEBD), tamanho: médio, características adicionais: com zíper frontal por toda sua extensão, utilizado para envolver o cadáver, isolando-o do contato com o ambiente para evitar contaminação.</t>
    </r>
  </si>
  <si>
    <r>
      <rPr>
        <b/>
        <sz val="10"/>
        <color theme="1"/>
        <rFont val="Arial Narrow"/>
        <family val="2"/>
      </rPr>
      <t xml:space="preserve">Cobetura para óbito - </t>
    </r>
    <r>
      <rPr>
        <sz val="10"/>
        <color theme="1"/>
        <rFont val="Arial Narrow"/>
        <family val="2"/>
      </rPr>
      <t>material: polietileno de baixa densidade (PEBD), tamanho: grande</t>
    </r>
    <r>
      <rPr>
        <b/>
        <sz val="10"/>
        <color theme="1"/>
        <rFont val="Arial Narrow"/>
        <family val="2"/>
      </rPr>
      <t>,</t>
    </r>
    <r>
      <rPr>
        <sz val="10"/>
        <color theme="1"/>
        <rFont val="Arial Narrow"/>
        <family val="2"/>
      </rPr>
      <t>características adicionais: com zíper frontal por toda sua extensão, utilizado para envolver o cadáver, isolando-o do contato com o ambiente para evitar contaminação.</t>
    </r>
  </si>
  <si>
    <r>
      <rPr>
        <b/>
        <sz val="10"/>
        <color theme="1"/>
        <rFont val="Arial Narrow"/>
        <family val="2"/>
      </rPr>
      <t>Cobertura para óbito -</t>
    </r>
    <r>
      <rPr>
        <sz val="10"/>
        <color theme="1"/>
        <rFont val="Arial Narrow"/>
        <family val="2"/>
      </rPr>
      <t xml:space="preserve"> material: polietileno de baixa densidade (PEBD), tamanho: GG,</t>
    </r>
    <r>
      <rPr>
        <b/>
        <sz val="10"/>
        <color theme="1"/>
        <rFont val="Arial Narrow"/>
        <family val="2"/>
      </rPr>
      <t xml:space="preserve"> </t>
    </r>
    <r>
      <rPr>
        <sz val="10"/>
        <color theme="1"/>
        <rFont val="Arial Narrow"/>
        <family val="2"/>
      </rPr>
      <t>características adicionais: com zíper frontal por toda sua extensão, utilizado para envolver o cadáver, isolando-o do contato com o ambiente para evitar contaminação.</t>
    </r>
  </si>
  <si>
    <r>
      <rPr>
        <b/>
        <sz val="10"/>
        <color rgb="FF000000"/>
        <rFont val="Arial Narrow"/>
        <family val="2"/>
      </rPr>
      <t>Coletor de urina -</t>
    </r>
    <r>
      <rPr>
        <sz val="10"/>
        <color rgb="FF000000"/>
        <rFont val="Arial Narrow"/>
        <family val="2"/>
      </rPr>
      <t xml:space="preserve"> tipo: sistema aberto, capacidade: 2 L, material: plástico, esterilidade: não estéril. </t>
    </r>
  </si>
  <si>
    <r>
      <rPr>
        <b/>
        <sz val="10"/>
        <color rgb="FF000000"/>
        <rFont val="Arial Narrow"/>
        <family val="2"/>
      </rPr>
      <t xml:space="preserve">Capacete oxigenoterapia - </t>
    </r>
    <r>
      <rPr>
        <sz val="10"/>
        <color rgb="FF000000"/>
        <rFont val="Arial Narrow"/>
        <family val="2"/>
      </rPr>
      <t>tipo: hood, material: acrílico transparente, uso: pediátrico, tamanho: 20 x 21 CM, 3,18 KG, características adicionais: para terapia de oxigênio em crianças com déficit de oxigênio, utilizado em situações de falta de incubadora. Na embalagem deverá estar impresso dados de identificação, procedência, data de fabricação, prazo de validade e registro na anvisa.</t>
    </r>
  </si>
  <si>
    <r>
      <rPr>
        <b/>
        <sz val="10"/>
        <color rgb="FF000000"/>
        <rFont val="Arial Narrow"/>
        <family val="2"/>
      </rPr>
      <t>Cadarço -</t>
    </r>
    <r>
      <rPr>
        <sz val="10"/>
        <color rgb="FF000000"/>
        <rFont val="Arial Narrow"/>
        <family val="2"/>
      </rPr>
      <t xml:space="preserve"> tipo: sarjado</t>
    </r>
    <r>
      <rPr>
        <b/>
        <sz val="10"/>
        <color rgb="FF000000"/>
        <rFont val="Arial Narrow"/>
        <family val="2"/>
      </rPr>
      <t>,</t>
    </r>
    <r>
      <rPr>
        <sz val="10"/>
        <color rgb="FF000000"/>
        <rFont val="Arial Narrow"/>
        <family val="2"/>
      </rPr>
      <t xml:space="preserve"> material: 100% algodão, medidas: 10mm de largura e 10m de comprimento, uso: para fixação de tubos ou sondas endotraqueal ou fixação da cânula de traqueostomia.</t>
    </r>
  </si>
  <si>
    <r>
      <rPr>
        <b/>
        <sz val="10"/>
        <color rgb="FF000000"/>
        <rFont val="Arial Narrow"/>
        <family val="2"/>
      </rPr>
      <t>Colar cervical de resgate -</t>
    </r>
    <r>
      <rPr>
        <sz val="10"/>
        <color rgb="FF000000"/>
        <rFont val="Arial Narrow"/>
        <family val="2"/>
      </rPr>
      <t xml:space="preserve"> material: polietileno de alta qualidade e densidade, tamanho: pequeno, características adicionais: revestido em EVA, abertura frontal para palpação e ventilação da nuca, registro em órgão competente.</t>
    </r>
  </si>
  <si>
    <r>
      <rPr>
        <b/>
        <sz val="10"/>
        <color rgb="FF000000"/>
        <rFont val="Arial Narrow"/>
        <family val="2"/>
      </rPr>
      <t>Colar cervical de resgate -</t>
    </r>
    <r>
      <rPr>
        <sz val="10"/>
        <color rgb="FF000000"/>
        <rFont val="Arial Narrow"/>
        <family val="2"/>
      </rPr>
      <t xml:space="preserve"> material: polietileno de alta qualidade e densidade, tamanho: médio, características adicionais: revestido em EVA, abertura frontal para palpação e ventilação da nuca, registro em órgão competente.</t>
    </r>
  </si>
  <si>
    <r>
      <rPr>
        <b/>
        <sz val="10"/>
        <color rgb="FF000000"/>
        <rFont val="Arial Narrow"/>
        <family val="2"/>
      </rPr>
      <t xml:space="preserve">Colar cervical de resgate - </t>
    </r>
    <r>
      <rPr>
        <sz val="10"/>
        <color rgb="FF000000"/>
        <rFont val="Arial Narrow"/>
        <family val="2"/>
      </rPr>
      <t>material: polietileno de alta qualidade e densidade, tamanho: grande,</t>
    </r>
    <r>
      <rPr>
        <b/>
        <sz val="10"/>
        <color rgb="FF000000"/>
        <rFont val="Arial Narrow"/>
        <family val="2"/>
      </rPr>
      <t xml:space="preserve"> </t>
    </r>
    <r>
      <rPr>
        <sz val="10"/>
        <color rgb="FF000000"/>
        <rFont val="Arial Narrow"/>
        <family val="2"/>
      </rPr>
      <t>características adicionais: revestido em EVA, abertura frontal para palpação e ventilação da nuca, registro em órgão competente.</t>
    </r>
  </si>
  <si>
    <r>
      <rPr>
        <b/>
        <sz val="10"/>
        <color theme="1"/>
        <rFont val="Arial Narrow"/>
        <family val="2"/>
      </rPr>
      <t xml:space="preserve">Detergente enzimático - </t>
    </r>
    <r>
      <rPr>
        <sz val="10"/>
        <color theme="1"/>
        <rFont val="Arial Narrow"/>
        <family val="2"/>
      </rPr>
      <t>com 04 enzimas, composição: lipase, amilase, protease, carboidrase, capacidade: galão com 5 litros, características adicionais: embalagem contendo externamente dados de identificação, prazo de validade e registro em órgão competente.</t>
    </r>
  </si>
  <si>
    <r>
      <rPr>
        <b/>
        <sz val="10"/>
        <color rgb="FF000000"/>
        <rFont val="Arial Narrow"/>
        <family val="2"/>
      </rPr>
      <t xml:space="preserve">Dispositivo de infusão intravenosa nº 19 G - </t>
    </r>
    <r>
      <rPr>
        <sz val="10"/>
        <color rgb="FF000000"/>
        <rFont val="Arial Narrow"/>
        <family val="2"/>
      </rPr>
      <t xml:space="preserve">Contendo escalpe com dispositivo de segurança atendendo a norma NR 32 aprovada pela portaria MTE 485 de 11/11/200. </t>
    </r>
    <r>
      <rPr>
        <sz val="10"/>
        <color theme="1"/>
        <rFont val="Arial Narrow"/>
        <family val="2"/>
      </rPr>
      <t>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t>
    </r>
  </si>
  <si>
    <r>
      <rPr>
        <b/>
        <sz val="10"/>
        <color rgb="FF000000"/>
        <rFont val="Arial Narrow"/>
        <family val="2"/>
      </rPr>
      <t>Dispositivo de infusão intravenosa nº 21 G -</t>
    </r>
    <r>
      <rPr>
        <sz val="10"/>
        <color rgb="FF000000"/>
        <rFont val="Arial Narrow"/>
        <family val="2"/>
      </rPr>
      <t xml:space="preserve"> contendo escaple com dispositivo de segurança atendendo a norma NR32 aprovada pela portaria MTE 485 de 11/11/200. </t>
    </r>
    <r>
      <rPr>
        <sz val="10"/>
        <color theme="1"/>
        <rFont val="Arial Narrow"/>
        <family val="2"/>
      </rPr>
      <t>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t>
    </r>
  </si>
  <si>
    <r>
      <rPr>
        <b/>
        <sz val="10"/>
        <color rgb="FF000000"/>
        <rFont val="Arial Narrow"/>
        <family val="2"/>
      </rPr>
      <t>Dispositivo de infusão intravenosa nº 23 G -</t>
    </r>
    <r>
      <rPr>
        <sz val="10"/>
        <color rgb="FF000000"/>
        <rFont val="Arial Narrow"/>
        <family val="2"/>
      </rPr>
      <t xml:space="preserve"> contendo escalpe com dispositivo de segurança atendendo a norma NR 32 aprovada pela portaria MTE 485 de 11/11/200.</t>
    </r>
    <r>
      <rPr>
        <sz val="10"/>
        <color theme="1"/>
        <rFont val="Arial Narrow"/>
        <family val="2"/>
      </rPr>
      <t xml:space="preserve">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t>
    </r>
  </si>
  <si>
    <r>
      <rPr>
        <b/>
        <sz val="10"/>
        <color rgb="FF000000"/>
        <rFont val="Arial Narrow"/>
        <family val="2"/>
      </rPr>
      <t>Dispositivo de infusão intravenosa nº 25 G -</t>
    </r>
    <r>
      <rPr>
        <sz val="10"/>
        <color rgb="FF000000"/>
        <rFont val="Arial Narrow"/>
        <family val="2"/>
      </rPr>
      <t xml:space="preserve"> contendo escaple com dispositivo de segurança atendendo a norma NR 32 aprovada pela portaria MTE 485 de 11/11/200. </t>
    </r>
    <r>
      <rPr>
        <sz val="10"/>
        <color theme="1"/>
        <rFont val="Arial Narrow"/>
        <family val="2"/>
      </rPr>
      <t>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t>
    </r>
  </si>
  <si>
    <r>
      <rPr>
        <b/>
        <sz val="10"/>
        <color rgb="FF000000"/>
        <rFont val="Arial Narrow"/>
        <family val="2"/>
      </rPr>
      <t>Dispositivo para transferência de fluídos estéreis -</t>
    </r>
    <r>
      <rPr>
        <sz val="10"/>
        <color rgb="FF000000"/>
        <rFont val="Arial Narrow"/>
        <family val="2"/>
      </rPr>
      <t xml:space="preserve"> (soluções parenterais), uso em sistema fechado, perfeitamente adaptável, de modo universal, a qualquer embalagem de sistema fechado, sem contato com o ambiente externo, de uso único descartável, estéril, atóxico, duas pontas perfurantes com tampa protetora, pega ergonômica que evita o contato das mãos e facilita o manuseio pelo profissional. Embalagem: acondicionada individualmente de acordo com normas de embalagem RDC 185/2001, que garanta a integridade do produto ate o momento da sua utilização, permita a abertura e transferência com técnica asséptica, constando externamente dados de identificação do produto, nº de lote, data, validade e método de esterilização, dados de identificação do fabricante, nº.de registro no ministério da saúde dispositivo para transferência de fluídos estéreis - para utilização em frascos de soros fisiológico e água destilada, para a realização de procedimentos de nebulização, lavagens de curativos, umidificadores.</t>
    </r>
  </si>
  <si>
    <r>
      <rPr>
        <b/>
        <sz val="10"/>
        <color rgb="FF000000"/>
        <rFont val="Arial Narrow"/>
        <family val="2"/>
      </rPr>
      <t>Espaçador para aerossolterapia infantil</t>
    </r>
    <r>
      <rPr>
        <sz val="10"/>
        <color rgb="FF000000"/>
        <rFont val="Arial Narrow"/>
        <family val="2"/>
      </rPr>
      <t>, máscara tamanho: P (0 a 2 anos),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t>
    </r>
  </si>
  <si>
    <r>
      <rPr>
        <b/>
        <sz val="10"/>
        <color rgb="FF000000"/>
        <rFont val="Arial Narrow"/>
        <family val="2"/>
      </rPr>
      <t xml:space="preserve">Equipo para transfusão sanguínea (sangue) - </t>
    </r>
    <r>
      <rPr>
        <sz val="10"/>
        <color rgb="FF000000"/>
        <rFont val="Arial Narrow"/>
        <family val="2"/>
      </rPr>
      <t>Tamanho: 150cm,  Lanceta perfurante para conexão ao recipiente sangue; Câmara dupla flexível sendo a primeira dotada de filtro de sangue para retenção de coágulos, e a segunda para visualização e controle de gotejamento; Extensão em PVC; Controlador de fluxo (gotejamento) tipo pinça rolete; Conexão luer para dispositivo de acesso venoso.</t>
    </r>
  </si>
  <si>
    <r>
      <rPr>
        <b/>
        <sz val="10"/>
        <color rgb="FF000000"/>
        <rFont val="Arial Narrow"/>
        <family val="2"/>
      </rPr>
      <t xml:space="preserve">Espaçador para aerossolterapia adulto - </t>
    </r>
    <r>
      <rPr>
        <sz val="10"/>
        <color rgb="FF000000"/>
        <rFont val="Arial Narrow"/>
        <family val="2"/>
      </rPr>
      <t>máscara tamanho: adulto,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t>
    </r>
  </si>
  <si>
    <r>
      <rPr>
        <b/>
        <sz val="10"/>
        <color rgb="FF000000"/>
        <rFont val="Arial Narrow"/>
        <family val="2"/>
      </rPr>
      <t xml:space="preserve">Éter etílico </t>
    </r>
    <r>
      <rPr>
        <sz val="10"/>
        <color rgb="FF000000"/>
        <rFont val="Arial Narrow"/>
        <family val="2"/>
      </rPr>
      <t xml:space="preserve">- </t>
    </r>
    <r>
      <rPr>
        <sz val="10"/>
        <rFont val="Arial Narrow"/>
        <family val="2"/>
      </rPr>
      <t>concentração: 35%,</t>
    </r>
    <r>
      <rPr>
        <b/>
        <sz val="10"/>
        <rFont val="Arial Narrow"/>
        <family val="2"/>
      </rPr>
      <t xml:space="preserve"> </t>
    </r>
    <r>
      <rPr>
        <sz val="10"/>
        <color rgb="FF000000"/>
        <rFont val="Arial Narrow"/>
        <family val="2"/>
      </rPr>
      <t>apresentação: líquido, capacidade: frasco com 1 litro, características adicionais: incolor, de odor penetrante, inflamável e volátil. Embalagem com dados de identificação e procedência, data de fabricação expedida por órgão competente.</t>
    </r>
  </si>
  <si>
    <r>
      <rPr>
        <b/>
        <sz val="10"/>
        <color rgb="FF000000"/>
        <rFont val="Arial Narrow"/>
        <family val="2"/>
      </rPr>
      <t xml:space="preserve">Equipo micro gotas com injetor lateral - </t>
    </r>
    <r>
      <rPr>
        <sz val="10"/>
        <color rgb="FF000000"/>
        <rFont val="Arial Narrow"/>
        <family val="2"/>
      </rPr>
      <t>material: PVC transparente, comprimento: mínimo de 1,20M, volume bureta: mínimo de 50 ML, características adicionais: para soro microgotas com pinça roldana, câmara flexível, composta de lanceta com ponta perfurante, escalonada, regulador de fluxo tipo rolete, tubo flexível,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t>
    </r>
  </si>
  <si>
    <r>
      <rPr>
        <b/>
        <sz val="10"/>
        <color rgb="FF000000"/>
        <rFont val="Arial Narrow"/>
        <family val="2"/>
      </rPr>
      <t>Equipo macrogotas -</t>
    </r>
    <r>
      <rPr>
        <sz val="10"/>
        <color rgb="FF000000"/>
        <rFont val="Arial Narrow"/>
        <family val="2"/>
      </rPr>
      <t xml:space="preserve"> uso: para soro, material: tudo flexível em PVC transparente, com pinça roldana</t>
    </r>
    <r>
      <rPr>
        <b/>
        <sz val="10"/>
        <color rgb="FF000000"/>
        <rFont val="Arial Narrow"/>
        <family val="2"/>
      </rPr>
      <t>,</t>
    </r>
    <r>
      <rPr>
        <sz val="10"/>
        <color rgb="FF000000"/>
        <rFont val="Arial Narrow"/>
        <family val="2"/>
      </rPr>
      <t xml:space="preserve"> comprimento: mínimo de 1,20M, características adicionais: câmara flexível, composta de lanceta com ponta perfurante, escalonada, regulador de fluxo tipo rolete, com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t>
    </r>
  </si>
  <si>
    <r>
      <rPr>
        <b/>
        <sz val="10"/>
        <color rgb="FF000000"/>
        <rFont val="Arial Narrow"/>
        <family val="2"/>
      </rPr>
      <t>Equipo 2 vias Multivias -</t>
    </r>
    <r>
      <rPr>
        <sz val="10"/>
        <color rgb="FF000000"/>
        <rFont val="Arial Narrow"/>
        <family val="2"/>
      </rPr>
      <t xml:space="preserve"> dispositivo multiplicador de acesso venoso, luer fêmea de 2 vias, com clamp de fechamento rápido nas vias, material: PVC flexível. Embalagem individual de papel grau cirúrgico e/ou com filme termoplástico, com abertura em pétala, constando externamente dados de identificação e procedência, data e tipo de esterilização, prazo de validade e registro em órgão competente.</t>
    </r>
  </si>
  <si>
    <r>
      <rPr>
        <b/>
        <sz val="10"/>
        <color rgb="FF000000"/>
        <rFont val="Arial Narrow"/>
        <family val="2"/>
      </rPr>
      <t>Esfigmomanômetro -</t>
    </r>
    <r>
      <rPr>
        <sz val="10"/>
        <color rgb="FF000000"/>
        <rFont val="Arial Narrow"/>
        <family val="2"/>
      </rPr>
      <t xml:space="preserve"> tamanho: adulto, tipo: analógico com estetoscópio</t>
    </r>
    <r>
      <rPr>
        <b/>
        <sz val="10"/>
        <color rgb="FF000000"/>
        <rFont val="Arial Narrow"/>
        <family val="2"/>
      </rPr>
      <t>,</t>
    </r>
    <r>
      <rPr>
        <sz val="10"/>
        <color rgb="FF000000"/>
        <rFont val="Arial Narrow"/>
        <family val="2"/>
      </rPr>
      <t xml:space="preserve"> </t>
    </r>
    <r>
      <rPr>
        <sz val="10"/>
        <rFont val="Arial Narrow"/>
        <family val="2"/>
      </rPr>
      <t>material: braçadeira em nylon, fecho em velcro, características</t>
    </r>
    <r>
      <rPr>
        <sz val="10"/>
        <color rgb="FF000000"/>
        <rFont val="Arial Narrow"/>
        <family val="2"/>
      </rPr>
      <t xml:space="preserve"> adicionais: embalagem primária contendo identificação, número do lote, mês e ano de fabricação e validade, e registro em órgão competente. </t>
    </r>
  </si>
  <si>
    <r>
      <rPr>
        <b/>
        <sz val="10"/>
        <color rgb="FF000000"/>
        <rFont val="Arial Narrow"/>
        <family val="2"/>
      </rPr>
      <t xml:space="preserve">Esfigmomanômetro - </t>
    </r>
    <r>
      <rPr>
        <sz val="10"/>
        <color rgb="FF000000"/>
        <rFont val="Arial Narrow"/>
        <family val="2"/>
      </rPr>
      <t>tamanho: infantil, tipo: analógico com estetoscópio</t>
    </r>
    <r>
      <rPr>
        <sz val="10"/>
        <rFont val="Arial Narrow"/>
        <family val="2"/>
      </rPr>
      <t xml:space="preserve">, material: braçadeira em nylon, fecho em velcro, </t>
    </r>
    <r>
      <rPr>
        <sz val="10"/>
        <color rgb="FF000000"/>
        <rFont val="Arial Narrow"/>
        <family val="2"/>
      </rPr>
      <t xml:space="preserve">características adicionais: embalagem primária contendo identificação, número do lote, mês e ano de fabricação e validade, e registro em órgão competente. </t>
    </r>
  </si>
  <si>
    <r>
      <rPr>
        <b/>
        <sz val="10"/>
        <color rgb="FF000000"/>
        <rFont val="Arial Narrow"/>
        <family val="2"/>
      </rPr>
      <t xml:space="preserve">Esfigmomanômetro - </t>
    </r>
    <r>
      <rPr>
        <sz val="10"/>
        <color rgb="FF000000"/>
        <rFont val="Arial Narrow"/>
        <family val="2"/>
      </rPr>
      <t>tamanho: adulto obeso, tipo: analógico com estetoscópi</t>
    </r>
    <r>
      <rPr>
        <sz val="10"/>
        <rFont val="Arial Narrow"/>
        <family val="2"/>
      </rPr>
      <t>o,</t>
    </r>
    <r>
      <rPr>
        <b/>
        <sz val="10"/>
        <rFont val="Arial Narrow"/>
        <family val="2"/>
      </rPr>
      <t xml:space="preserve"> </t>
    </r>
    <r>
      <rPr>
        <sz val="10"/>
        <rFont val="Arial Narrow"/>
        <family val="2"/>
      </rPr>
      <t xml:space="preserve">material: braçadeira em nylon, fecho em velcro, </t>
    </r>
    <r>
      <rPr>
        <sz val="10"/>
        <color rgb="FF000000"/>
        <rFont val="Arial Narrow"/>
        <family val="2"/>
      </rPr>
      <t xml:space="preserve">características adicionais: embalagem primária contendo identificação, número do lote, mês e ano de fabricação e validade, e registro em órgão competente. </t>
    </r>
  </si>
  <si>
    <r>
      <rPr>
        <b/>
        <sz val="10"/>
        <color theme="1"/>
        <rFont val="Arial Narrow"/>
        <family val="2"/>
      </rPr>
      <t xml:space="preserve">Exercitador e incentivador respiratório - </t>
    </r>
    <r>
      <rPr>
        <sz val="10"/>
        <color theme="1"/>
        <rFont val="Arial Narrow"/>
        <family val="2"/>
      </rPr>
      <t xml:space="preserve">Modelo classic; Medidas do nível variam de 10 cmH2O até 40 cmH2O; Corpo: poliestireno cristal; Esperas, Anel e Mangueira: polietileno; Bocal: polipropileno; Anel de graduação de intensidade que varia de 0 a 3; O sistema de intensidade funciona também em graus intermediário (0,5, 1,5 etc.); Dimensões: Corpo: 13,5x6,9x14,2 cm (CxLxA); Mangueira: 26,6x1,6 cm (CxL); Bocal: 3,0x1,6 cm (CxL).
</t>
    </r>
  </si>
  <si>
    <r>
      <rPr>
        <b/>
        <sz val="10"/>
        <color rgb="FF000000"/>
        <rFont val="Arial Narrow"/>
        <family val="2"/>
      </rPr>
      <t xml:space="preserve">Eletrodo - </t>
    </r>
    <r>
      <rPr>
        <sz val="10"/>
        <color rgb="FF000000"/>
        <rFont val="Arial Narrow"/>
        <family val="2"/>
      </rPr>
      <t>uso médico, aplicação: para monitorização cardíaca ECG, tamanho: neonatal, esterilidade: uso único, tipo: adesivo, características adicionais: pré-alambrado, utiliza hidrogel adesivo e condutor que fornece adesão firme, minimizando a irritação na pele delicada dos recém-nascidos.</t>
    </r>
  </si>
  <si>
    <r>
      <rPr>
        <b/>
        <sz val="10"/>
        <color rgb="FF000000"/>
        <rFont val="Arial Narrow"/>
        <family val="2"/>
      </rPr>
      <t xml:space="preserve">Equipo - </t>
    </r>
    <r>
      <rPr>
        <sz val="10"/>
        <color rgb="FF000000"/>
        <rFont val="Arial Narrow"/>
        <family val="2"/>
      </rPr>
      <t>para bomba de infusão, tipo conector: universal</t>
    </r>
    <r>
      <rPr>
        <b/>
        <sz val="10"/>
        <color rgb="FF000000"/>
        <rFont val="Arial Narrow"/>
        <family val="2"/>
      </rPr>
      <t>,</t>
    </r>
    <r>
      <rPr>
        <sz val="10"/>
        <color rgb="FF000000"/>
        <rFont val="Arial Narrow"/>
        <family val="2"/>
      </rPr>
      <t xml:space="preserve"> esterilidade: estéril, não tóxico, uso único, </t>
    </r>
    <r>
      <rPr>
        <sz val="10"/>
        <rFont val="Arial Narrow"/>
        <family val="2"/>
      </rPr>
      <t>material: pvc, características</t>
    </r>
    <r>
      <rPr>
        <sz val="10"/>
        <color rgb="FF000000"/>
        <rFont val="Arial Narrow"/>
        <family val="2"/>
      </rPr>
      <t xml:space="preserve"> adicionais: equipo para administração de soluções venosas com câmara flexível e filtro de partículas.</t>
    </r>
  </si>
  <si>
    <r>
      <rPr>
        <b/>
        <sz val="10"/>
        <color rgb="FF000000"/>
        <rFont val="Arial Narrow"/>
        <family val="2"/>
      </rPr>
      <t>Fralda descartável -</t>
    </r>
    <r>
      <rPr>
        <sz val="10"/>
        <color rgb="FF000000"/>
        <rFont val="Arial Narrow"/>
        <family val="2"/>
      </rPr>
      <t xml:space="preserve"> tipo: infantil,  tamanho: XXG, formato: anatômico, características: apresenta tripla proteção com barreiras super impermeáveis, gel super absorvente, camada de proteção ultra seca. Sua composição contém filme de polietileno, polpa de celulose, polímero superabsorvente, tecido de polipropileno, não tecido de fibras bicomponentes e fibras polyester, aloe vera, vitamina E, adesivo termoplástico, fios de elástico, fitas adesivas. Componentes atóxicos não propensos a causar irritação em contato com a pele, produto de referência: fraldas descartáveis Huggies turma da Mônica tripla proteção mega XXG.</t>
    </r>
  </si>
  <si>
    <r>
      <rPr>
        <b/>
        <sz val="10"/>
        <color rgb="FF000000"/>
        <rFont val="Arial Narrow"/>
        <family val="2"/>
      </rPr>
      <t xml:space="preserve">Frasco - </t>
    </r>
    <r>
      <rPr>
        <sz val="10"/>
        <color rgb="FF000000"/>
        <rFont val="Arial Narrow"/>
        <family val="2"/>
      </rPr>
      <t>tipo: almotolia pinceta, capacidade: 250 ml, material: polietileno (plástico), tipo do bico: bico reto longo com protetor,  características adicionais: recipiente com tampa enroscada, sem mangueira interna, cor: marrom, flexível, contendo orifício central, graduado a cada 50 ml, resistente a desinfecções. Embalagem contendo externamente dados de identificação, procedência e registro em órgão competente.</t>
    </r>
  </si>
  <si>
    <r>
      <rPr>
        <b/>
        <sz val="10"/>
        <color rgb="FF000000"/>
        <rFont val="Arial Narrow"/>
        <family val="2"/>
      </rPr>
      <t xml:space="preserve">Fralda descartável - </t>
    </r>
    <r>
      <rPr>
        <sz val="10"/>
        <color rgb="FF000000"/>
        <rFont val="Arial Narrow"/>
        <family val="2"/>
      </rPr>
      <t>tipo: geriátrica, tamanho: P,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t>
    </r>
  </si>
  <si>
    <r>
      <rPr>
        <b/>
        <sz val="10"/>
        <color rgb="FF000000"/>
        <rFont val="Arial Narrow"/>
        <family val="2"/>
      </rPr>
      <t xml:space="preserve">Fralda descartável - </t>
    </r>
    <r>
      <rPr>
        <sz val="10"/>
        <color rgb="FF000000"/>
        <rFont val="Arial Narrow"/>
        <family val="2"/>
      </rPr>
      <t>tipo: geriátrica, tamanho: M ,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t>
    </r>
  </si>
  <si>
    <r>
      <rPr>
        <b/>
        <sz val="10"/>
        <color rgb="FF000000"/>
        <rFont val="Arial Narrow"/>
        <family val="2"/>
      </rPr>
      <t>Fralda descartável -</t>
    </r>
    <r>
      <rPr>
        <sz val="10"/>
        <color rgb="FF000000"/>
        <rFont val="Arial Narrow"/>
        <family val="2"/>
      </rPr>
      <t xml:space="preserve"> tipo: geriátrica, tamanho: 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t>
    </r>
  </si>
  <si>
    <r>
      <rPr>
        <b/>
        <sz val="10"/>
        <color rgb="FF000000"/>
        <rFont val="Arial Narrow"/>
        <family val="2"/>
      </rPr>
      <t>Fralda descartável -</t>
    </r>
    <r>
      <rPr>
        <sz val="10"/>
        <color rgb="FF000000"/>
        <rFont val="Arial Narrow"/>
        <family val="2"/>
      </rPr>
      <t xml:space="preserve"> tipo: geriátrica, tamanho: XG,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t>
    </r>
  </si>
  <si>
    <r>
      <rPr>
        <b/>
        <sz val="10"/>
        <color rgb="FF000000"/>
        <rFont val="Arial Narrow"/>
        <family val="2"/>
      </rPr>
      <t xml:space="preserve">Fita hospitalar - </t>
    </r>
    <r>
      <rPr>
        <sz val="10"/>
        <color rgb="FF000000"/>
        <rFont val="Arial Narrow"/>
        <family val="2"/>
      </rPr>
      <t>tipo: esparadrapo impermeável, material: dorso de tecido 100% algodão, dimensões: 10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t>
    </r>
  </si>
  <si>
    <r>
      <rPr>
        <b/>
        <sz val="10"/>
        <color rgb="FF000000"/>
        <rFont val="Arial Narrow"/>
        <family val="2"/>
      </rPr>
      <t>Fita hospitalar -</t>
    </r>
    <r>
      <rPr>
        <sz val="10"/>
        <color rgb="FF000000"/>
        <rFont val="Arial Narrow"/>
        <family val="2"/>
      </rPr>
      <t xml:space="preserve"> tipo: esparadrapo impermeável, material: dorso de tecido 100% algodão, dimensões: 5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t>
    </r>
  </si>
  <si>
    <r>
      <rPr>
        <b/>
        <sz val="10"/>
        <color rgb="FF000000"/>
        <rFont val="Arial Narrow"/>
        <family val="2"/>
      </rPr>
      <t>Fita hospitalar -</t>
    </r>
    <r>
      <rPr>
        <sz val="10"/>
        <color rgb="FF000000"/>
        <rFont val="Arial Narrow"/>
        <family val="2"/>
      </rPr>
      <t xml:space="preserve"> tipo: esparadrapo microporoso, dimensão: 10 cm x 4,5 m, material: confeccionado em tecido não tecido de fio de algodão ou viscose, características adicionais: antialérgico, massa adesiva com boa aderência, isento de substância alérgenas, enrolado em carretel. Embalagem individual contendo externamente dados de identificação e procedência, lote, prazo de validade e registro em órgão competente.
</t>
    </r>
  </si>
  <si>
    <r>
      <rPr>
        <b/>
        <sz val="10"/>
        <color rgb="FF000000"/>
        <rFont val="Arial Narrow"/>
        <family val="2"/>
      </rPr>
      <t xml:space="preserve">Fio guia (Mandril) - </t>
    </r>
    <r>
      <rPr>
        <sz val="10"/>
        <color rgb="FF000000"/>
        <rFont val="Arial Narrow"/>
        <family val="2"/>
      </rPr>
      <t>tamanho: infantil, dimensões aproximadas: diâmetro de 2,0mm e comprimento de 300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t>
    </r>
  </si>
  <si>
    <r>
      <rPr>
        <b/>
        <sz val="10"/>
        <color theme="1"/>
        <rFont val="Arial Narrow"/>
        <family val="2"/>
      </rPr>
      <t xml:space="preserve">Fio guia (Mandril) - </t>
    </r>
    <r>
      <rPr>
        <sz val="10"/>
        <color theme="1"/>
        <rFont val="Arial Narrow"/>
        <family val="2"/>
      </rPr>
      <t>tamanho: adulto, dimensões aproximadas: diâmetro de 3,2mm e comprimento de 420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t>
    </r>
  </si>
  <si>
    <r>
      <rPr>
        <b/>
        <sz val="10"/>
        <color rgb="FF000000"/>
        <rFont val="Arial Narrow"/>
        <family val="2"/>
      </rPr>
      <t xml:space="preserve">Fixador citológico - </t>
    </r>
    <r>
      <rPr>
        <sz val="10"/>
        <color rgb="FF000000"/>
        <rFont val="Arial Narrow"/>
        <family val="2"/>
      </rPr>
      <t>apresentação: spray, concentração: 100 ML, composição: solução de propilenoglicol e álcool absoluto, características adicionais: possui propriedades de fixação e sustentação da integridade celular de esfregaços de material biológico estendidos em lâmina de vidro, estes esfregaços quando fixados pelo fixador citológico vagispec e submetidos à coloração de papanicolaou apresentam excelente características tintoriais com ausência de pseudo-acidofilias. Embalagem contendo dados de identificação e procedência, lote, data e tipo de esterilização, prazo de validade e registro em órgão competente.</t>
    </r>
  </si>
  <si>
    <r>
      <rPr>
        <b/>
        <sz val="10"/>
        <color rgb="FF000000"/>
        <rFont val="Arial Narrow"/>
        <family val="2"/>
      </rPr>
      <t xml:space="preserve">Filme para raio x digital, DI-HT </t>
    </r>
    <r>
      <rPr>
        <sz val="10"/>
        <color rgb="FF000000"/>
        <rFont val="Arial Narrow"/>
        <family val="2"/>
      </rPr>
      <t xml:space="preserve">dimensões: 25 x 30 cm, apresentação: caixa com 100 películas, características adicionais: processamento a seco, embalagem contendo externamente dados de identificação e procedência, lote, data de fabricação, prazo de validade e registro em órgão competente. Referência: Fujifilm. </t>
    </r>
  </si>
  <si>
    <t>KG</t>
  </si>
  <si>
    <t xml:space="preserve">CAIXA </t>
  </si>
  <si>
    <r>
      <rPr>
        <b/>
        <sz val="10"/>
        <color rgb="FF000000"/>
        <rFont val="Arial Narrow"/>
        <family val="2"/>
      </rPr>
      <t xml:space="preserve">Fita adesiva - </t>
    </r>
    <r>
      <rPr>
        <sz val="10"/>
        <color rgb="FF000000"/>
        <rFont val="Arial Narrow"/>
        <family val="2"/>
      </rPr>
      <t xml:space="preserve">aplicação: hospitalar, dimensões: 19 mm x 50 m, material: papel crepado cor: branca, características adicionais: com dorso de papel crepado recoberto com adesivo na face interna, resistente à esterilização pelo calor úmido. Embalagem contendo dados de identificação, procedência, prazo de validade e registro em órgão competente.
</t>
    </r>
  </si>
  <si>
    <r>
      <rPr>
        <b/>
        <sz val="10"/>
        <color rgb="FF000000"/>
        <rFont val="Arial Narrow"/>
        <family val="2"/>
      </rPr>
      <t>Fita adesiva -</t>
    </r>
    <r>
      <rPr>
        <sz val="10"/>
        <color rgb="FF000000"/>
        <rFont val="Arial Narrow"/>
        <family val="2"/>
      </rPr>
      <t xml:space="preserve"> aplicação: autoclave, dimensões: 19mm x 30m, material: papel crepado, características adicionais: adesivada com dorso de papel crepado, saturado e envernizado, adesivo a base de borracha natural e resinas, tinta termo-reativa e multiparamétrica e butadien. Embalagem contendo dados de identificação, procedência, prazo de validade e registro em órgão competente.</t>
    </r>
  </si>
  <si>
    <r>
      <rPr>
        <b/>
        <sz val="10"/>
        <color rgb="FF000000"/>
        <rFont val="Arial Narrow"/>
        <family val="2"/>
      </rPr>
      <t xml:space="preserve">Fio de sutura - </t>
    </r>
    <r>
      <rPr>
        <sz val="10"/>
        <color rgb="FF000000"/>
        <rFont val="Arial Narrow"/>
        <family val="2"/>
      </rPr>
      <t xml:space="preserve">tipo: Catgut cromado com agulha, tipo fio: 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t>
    </r>
  </si>
  <si>
    <r>
      <rPr>
        <b/>
        <sz val="10"/>
        <color rgb="FF000000"/>
        <rFont val="Arial Narrow"/>
        <family val="2"/>
      </rPr>
      <t>Fio de sutura -</t>
    </r>
    <r>
      <rPr>
        <sz val="10"/>
        <color rgb="FF000000"/>
        <rFont val="Arial Narrow"/>
        <family val="2"/>
      </rPr>
      <t xml:space="preserve"> tipo: Catgut cromado com agulha, tipo fio: 1,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t>
    </r>
  </si>
  <si>
    <r>
      <rPr>
        <b/>
        <sz val="10"/>
        <color rgb="FF000000"/>
        <rFont val="Arial Narrow"/>
        <family val="2"/>
      </rPr>
      <t xml:space="preserve">Fio de sutura - </t>
    </r>
    <r>
      <rPr>
        <sz val="10"/>
        <color rgb="FF000000"/>
        <rFont val="Arial Narrow"/>
        <family val="2"/>
      </rPr>
      <t xml:space="preserve">tipo: Catgut cromado com agulha, tipo fio: 2-0,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t>
    </r>
  </si>
  <si>
    <r>
      <rPr>
        <b/>
        <sz val="10"/>
        <color rgb="FF000000"/>
        <rFont val="Arial Narrow"/>
        <family val="2"/>
      </rPr>
      <t xml:space="preserve">Fio de sutura - </t>
    </r>
    <r>
      <rPr>
        <sz val="10"/>
        <color rgb="FF000000"/>
        <rFont val="Arial Narrow"/>
        <family val="2"/>
      </rPr>
      <t>tipo: Catgut simples com agulha, tipo fio: 2-0, comprimento agulha: 3,0 CM, tipo agulha: 1/2 círculo cilíndrica, tamanho do fio: mínimo de 70 cm de comprimento, apresentação: caixa com 24 unidades</t>
    </r>
    <r>
      <rPr>
        <b/>
        <sz val="10"/>
        <color rgb="FF000000"/>
        <rFont val="Arial Narrow"/>
        <family val="2"/>
      </rPr>
      <t xml:space="preserve">, </t>
    </r>
    <r>
      <rPr>
        <sz val="10"/>
        <color rgb="FF000000"/>
        <rFont val="Arial Narrow"/>
        <family val="2"/>
      </rPr>
      <t xml:space="preserve">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t>
    </r>
  </si>
  <si>
    <r>
      <rPr>
        <b/>
        <sz val="10"/>
        <color rgb="FF000000"/>
        <rFont val="Arial Narrow"/>
        <family val="2"/>
      </rPr>
      <t>Fio de sutura -</t>
    </r>
    <r>
      <rPr>
        <sz val="10"/>
        <color rgb="FF000000"/>
        <rFont val="Arial Narrow"/>
        <family val="2"/>
      </rPr>
      <t xml:space="preserve"> tipo: Catgut simples com agulha, tipo fio: 3-0,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t>
    </r>
  </si>
  <si>
    <r>
      <rPr>
        <b/>
        <sz val="10"/>
        <color rgb="FF000000"/>
        <rFont val="Arial Narrow"/>
        <family val="2"/>
      </rPr>
      <t xml:space="preserve">Fio de sutura com agulha - </t>
    </r>
    <r>
      <rPr>
        <sz val="10"/>
        <color rgb="FF000000"/>
        <rFont val="Arial Narrow"/>
        <family val="2"/>
      </rPr>
      <t xml:space="preserve">material: Nylon monofilamento, tipo fio: 2-0, tipo agulha: 3/8 círculo cortante, comprimento da agulha: 3,0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t>
    </r>
  </si>
  <si>
    <r>
      <rPr>
        <b/>
        <sz val="10"/>
        <color rgb="FF000000"/>
        <rFont val="Arial Narrow"/>
        <family val="2"/>
      </rPr>
      <t xml:space="preserve">Fio de sutura com agulha - </t>
    </r>
    <r>
      <rPr>
        <sz val="10"/>
        <color rgb="FF000000"/>
        <rFont val="Arial Narrow"/>
        <family val="2"/>
      </rPr>
      <t>material: Nylon monofilamento, tipo fio: 3-0, tipo agulha: 3/8 círculo cortante, comprimento da agulha: mínimo de 2,0 cm, comprimento do fio: 45 cm, apresentação: caixa com 24 unidades</t>
    </r>
    <r>
      <rPr>
        <b/>
        <sz val="10"/>
        <color rgb="FF000000"/>
        <rFont val="Arial Narrow"/>
        <family val="2"/>
      </rPr>
      <t xml:space="preserve">, </t>
    </r>
    <r>
      <rPr>
        <sz val="10"/>
        <color rgb="FF000000"/>
        <rFont val="Arial Narrow"/>
        <family val="2"/>
      </rPr>
      <t xml:space="preserve">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t>
    </r>
  </si>
  <si>
    <r>
      <rPr>
        <b/>
        <sz val="10"/>
        <color rgb="FF000000"/>
        <rFont val="Arial Narrow"/>
        <family val="2"/>
      </rPr>
      <t>Fio de sutura com agulha -</t>
    </r>
    <r>
      <rPr>
        <sz val="10"/>
        <color rgb="FF000000"/>
        <rFont val="Arial Narrow"/>
        <family val="2"/>
      </rPr>
      <t xml:space="preserve"> material: Nylon monofilamento, tipo fio: 4-0, tipo agulha: 3/8 círculo cortante, comprimento da agulha: 2,5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t>
    </r>
  </si>
  <si>
    <r>
      <rPr>
        <b/>
        <sz val="10"/>
        <color rgb="FF000000"/>
        <rFont val="Arial Narrow"/>
        <family val="2"/>
      </rPr>
      <t xml:space="preserve">Fio de sutura com agulha - </t>
    </r>
    <r>
      <rPr>
        <sz val="10"/>
        <color rgb="FF000000"/>
        <rFont val="Arial Narrow"/>
        <family val="2"/>
      </rPr>
      <t xml:space="preserve">material: Nylon monofilamento, tipo fio: 5-0, tipo agulha: 3/8 círculo cortante, comprimento da agulha: 2,0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t>
    </r>
  </si>
  <si>
    <r>
      <rPr>
        <b/>
        <sz val="10"/>
        <color rgb="FF000000"/>
        <rFont val="Arial Narrow"/>
        <family val="2"/>
      </rPr>
      <t>Frasco coletor, tipo: universal, material: plástico transparente, capacidade: 100 ML,</t>
    </r>
    <r>
      <rPr>
        <sz val="10"/>
        <color rgb="FF000000"/>
        <rFont val="Arial Narrow"/>
        <family val="2"/>
      </rPr>
      <t xml:space="preserve"> graduação: graduado, tipo tampa: rosqueável, uso: para exames laboratoriais de fezes, urina, escarro e esperma, características adicionais: embalagem plástica individual, constando os dados de identificação, procedência e rastreabilidade.</t>
    </r>
  </si>
  <si>
    <r>
      <rPr>
        <b/>
        <sz val="10"/>
        <color rgb="FF000000"/>
        <rFont val="Arial Narrow"/>
        <family val="2"/>
      </rPr>
      <t>Filtro bacterial viral HMEF- KS -</t>
    </r>
    <r>
      <rPr>
        <sz val="10"/>
        <color rgb="FF000000"/>
        <rFont val="Arial Narrow"/>
        <family val="2"/>
      </rPr>
      <t xml:space="preserve"> Indicado para a proteção do paciente, evitando complicações relacionadas à falta de calor e umidade no ar inspirado e impedindo microorganismos alcançarem o trato respiratório do paciente. Possui mecanismo para troca de calor e umidade combinado com filtro bacterial e viral para uso em anestesia, terapia intensiva, medicina respiratória e ventilação mecânica.</t>
    </r>
  </si>
  <si>
    <r>
      <rPr>
        <b/>
        <sz val="10"/>
        <color theme="1"/>
        <rFont val="Arial Narrow"/>
        <family val="2"/>
      </rPr>
      <t xml:space="preserve">Fio guia para intubação - </t>
    </r>
    <r>
      <rPr>
        <sz val="10"/>
        <color theme="1"/>
        <rFont val="Arial Narrow"/>
        <family val="2"/>
      </rPr>
      <t>modelo: tipo bougie, tamanho: 6 FR neonatal, medidas: haste de aproximadamente 47 cm, características: auxiliar na introdução da sonda em procedimentos de intubação para pacientes que necessitem com urgência de ventilação pulmonar, semirrígido, sem lúmen, haste com escala graduada para referência de posicionamento extremidade distal e proximal retas.</t>
    </r>
  </si>
  <si>
    <r>
      <rPr>
        <b/>
        <sz val="10"/>
        <color rgb="FF000000"/>
        <rFont val="Arial Narrow"/>
        <family val="2"/>
      </rPr>
      <t xml:space="preserve">Gaze - </t>
    </r>
    <r>
      <rPr>
        <sz val="10"/>
        <color rgb="FF000000"/>
        <rFont val="Arial Narrow"/>
        <family val="2"/>
      </rPr>
      <t>tipo: hidrófila, dimensão 91 x 91 cm, material: tecido 100% algodão, quantidade fios: 13 fios/M2, formato: circular, tipo: queijo, características adicionais: altamente absorvente, cor branco, 8 camadas e dobras. Embalagem individual contendo externamente dados de identificação e procedência, prazo de validade.</t>
    </r>
  </si>
  <si>
    <r>
      <rPr>
        <b/>
        <sz val="10"/>
        <color rgb="FF000000"/>
        <rFont val="Arial Narrow"/>
        <family val="2"/>
      </rPr>
      <t>Garrote com trava -</t>
    </r>
    <r>
      <rPr>
        <sz val="10"/>
        <color rgb="FF000000"/>
        <rFont val="Arial Narrow"/>
        <family val="2"/>
      </rPr>
      <t xml:space="preserve"> tamanho: adulto,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t>
    </r>
  </si>
  <si>
    <r>
      <rPr>
        <b/>
        <sz val="10"/>
        <color rgb="FF000000"/>
        <rFont val="Arial Narrow"/>
        <family val="2"/>
      </rPr>
      <t xml:space="preserve">Garrote com trava - </t>
    </r>
    <r>
      <rPr>
        <sz val="10"/>
        <color rgb="FF000000"/>
        <rFont val="Arial Narrow"/>
        <family val="2"/>
      </rPr>
      <t xml:space="preserve">tamanho: infantil,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t>
    </r>
  </si>
  <si>
    <r>
      <rPr>
        <b/>
        <sz val="10"/>
        <color rgb="FF000000"/>
        <rFont val="Arial Narrow"/>
        <family val="2"/>
      </rPr>
      <t xml:space="preserve">Gel - </t>
    </r>
    <r>
      <rPr>
        <sz val="10"/>
        <color rgb="FF000000"/>
        <rFont val="Arial Narrow"/>
        <family val="2"/>
      </rPr>
      <t>aplicação: para ultrassonografia, capacidade: 1 KG, características adicionais: eletrolítico para ultrassonografia, embalagem contendo externamente dados de identificação e procedência, lote, prazo de validade e registro em órgão competente.</t>
    </r>
  </si>
  <si>
    <r>
      <rPr>
        <b/>
        <sz val="10"/>
        <color rgb="FF000000"/>
        <rFont val="Arial Narrow"/>
        <family val="2"/>
      </rPr>
      <t>Gel -</t>
    </r>
    <r>
      <rPr>
        <sz val="10"/>
        <color rgb="FF000000"/>
        <rFont val="Arial Narrow"/>
        <family val="2"/>
      </rPr>
      <t xml:space="preserve"> aplicação: ECG, eletrocondutor para eletrocardiograma, capacidade: frasco com 100G, características adicionais: embalagem contendo externamente dados de identificação e procedência, lote, prazo de validade e registro em órgão competente. </t>
    </r>
  </si>
  <si>
    <r>
      <rPr>
        <b/>
        <sz val="10"/>
        <color theme="1"/>
        <rFont val="Arial Narrow"/>
        <family val="2"/>
      </rPr>
      <t xml:space="preserve">Indicador químico, classe: 5 - </t>
    </r>
    <r>
      <rPr>
        <sz val="10"/>
        <color theme="1"/>
        <rFont val="Arial Narrow"/>
        <family val="2"/>
      </rPr>
      <t xml:space="preserve">tipo: integrador, tipo uso: interno, apresentação: caixa com pacotes com 250 unidades, características adicionais: integrador em conformidade com ISSO 11140-1, que possibilita a monitorização das condições de esterilização às misturas de gás óxido de etileno, no interior das embalagens, embalagem  constando os dados de identificação e registro em órgão competente. 
</t>
    </r>
  </si>
  <si>
    <r>
      <rPr>
        <b/>
        <sz val="10"/>
        <color rgb="FF000000"/>
        <rFont val="Arial Narrow"/>
        <family val="2"/>
      </rPr>
      <t>Imobilizador apoio lateral de cabeça -</t>
    </r>
    <r>
      <rPr>
        <sz val="10"/>
        <color rgb="FF000000"/>
        <rFont val="Arial Narrow"/>
        <family val="2"/>
      </rPr>
      <t xml:space="preserve"> material: polietileno de alta densidade e revestido com espuma macia tipo EVA, dimensões: 25 cm x 0,9 cm x 16 cm, características adicionais: fixador exclusivo na região frontal, regulagem em velcro, possui cintos imobilizadores reguláveis, registro em órgão competente.</t>
    </r>
  </si>
  <si>
    <r>
      <rPr>
        <b/>
        <sz val="10"/>
        <color rgb="FF000000"/>
        <rFont val="Arial Narrow"/>
        <family val="2"/>
      </rPr>
      <t xml:space="preserve">Iodopovidona (Pvpi), 1000ml - </t>
    </r>
    <r>
      <rPr>
        <sz val="10"/>
        <color rgb="FF000000"/>
        <rFont val="Arial Narrow"/>
        <family val="2"/>
      </rPr>
      <t>forma farmacêutica: solução degermante, concentração: a 10%, características adicionais: Iodo disponível associado a lauril éter sulfato de sódio. Embalagem cor âmbar contendo externamente dados de identificação e procedência, lote, prazo de validade e registro em órgão competente.</t>
    </r>
  </si>
  <si>
    <r>
      <rPr>
        <b/>
        <sz val="10"/>
        <color rgb="FF000000"/>
        <rFont val="Arial Narrow"/>
        <family val="2"/>
      </rPr>
      <t xml:space="preserve">Kit para nebulização - </t>
    </r>
    <r>
      <rPr>
        <sz val="10"/>
        <color rgb="FF000000"/>
        <rFont val="Arial Narrow"/>
        <family val="2"/>
      </rPr>
      <t>tamanho: adulto, características: conjunto para nebulização composta por máscara facial, traqueia com 1,50m com parede interna lisa, reservatório com capacidade para 50ml.</t>
    </r>
  </si>
  <si>
    <r>
      <rPr>
        <b/>
        <sz val="10"/>
        <color rgb="FF000000"/>
        <rFont val="Arial Narrow"/>
        <family val="2"/>
      </rPr>
      <t xml:space="preserve">Kit para nebulização - </t>
    </r>
    <r>
      <rPr>
        <sz val="10"/>
        <color rgb="FF000000"/>
        <rFont val="Arial Narrow"/>
        <family val="2"/>
      </rPr>
      <t>tamanho: infantil, características: conjunto para nebulização composta por máscara facial, traqueia com 1,50m com parede interna lisa, reservatório com capacidade para 50ml.</t>
    </r>
  </si>
  <si>
    <r>
      <rPr>
        <b/>
        <sz val="10"/>
        <color rgb="FF000000"/>
        <rFont val="Arial Narrow"/>
        <family val="2"/>
      </rPr>
      <t xml:space="preserve">Kit máscara de venturi - </t>
    </r>
    <r>
      <rPr>
        <sz val="10"/>
        <color rgb="FF000000"/>
        <rFont val="Arial Narrow"/>
        <family val="2"/>
      </rPr>
      <t xml:space="preserve">tamanho: adulto,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t>
    </r>
  </si>
  <si>
    <r>
      <rPr>
        <b/>
        <sz val="10"/>
        <color rgb="FF000000"/>
        <rFont val="Arial Narrow"/>
        <family val="2"/>
      </rPr>
      <t xml:space="preserve">Kit máscara de venturi - </t>
    </r>
    <r>
      <rPr>
        <sz val="10"/>
        <color rgb="FF000000"/>
        <rFont val="Arial Narrow"/>
        <family val="2"/>
      </rPr>
      <t>tamanho: infantil</t>
    </r>
    <r>
      <rPr>
        <b/>
        <sz val="10"/>
        <color rgb="FF000000"/>
        <rFont val="Arial Narrow"/>
        <family val="2"/>
      </rPr>
      <t>,</t>
    </r>
    <r>
      <rPr>
        <sz val="10"/>
        <color rgb="FF000000"/>
        <rFont val="Arial Narrow"/>
        <family val="2"/>
      </rPr>
      <t xml:space="preserve">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t>
    </r>
  </si>
  <si>
    <r>
      <rPr>
        <b/>
        <sz val="10"/>
        <color rgb="FF000000"/>
        <rFont val="Arial Narrow"/>
        <family val="2"/>
      </rPr>
      <t xml:space="preserve">Kit completo para a realização do exame papanicolau - </t>
    </r>
    <r>
      <rPr>
        <sz val="10"/>
        <color rgb="FF000000"/>
        <rFont val="Arial Narrow"/>
        <family val="2"/>
      </rPr>
      <t>tamanho: P, características adicionais: não estéril, kit contendo 1 espátula de Ayres, 1 escova cervical, 1 lâmina de vidro, 1 caixa porta-lâminas, 1 par de luvas e 1 espéculo tamanho P.</t>
    </r>
  </si>
  <si>
    <r>
      <rPr>
        <b/>
        <sz val="10"/>
        <color rgb="FF000000"/>
        <rFont val="Arial Narrow"/>
        <family val="2"/>
      </rPr>
      <t xml:space="preserve">Kit completo para a realização do exame papanicolau - </t>
    </r>
    <r>
      <rPr>
        <sz val="10"/>
        <color rgb="FF000000"/>
        <rFont val="Arial Narrow"/>
        <family val="2"/>
      </rPr>
      <t>tamanho: M, características adicionais: não estéril, kit contendo 1 espátula de Ayres, 1 escova cervical, 1 lâmina de vidro, 1 caixa porta-lâminas, 1 par de luvas e 1 espéculo tamanho M.</t>
    </r>
  </si>
  <si>
    <r>
      <rPr>
        <b/>
        <sz val="10"/>
        <color rgb="FF000000"/>
        <rFont val="Arial Narrow"/>
        <family val="2"/>
      </rPr>
      <t xml:space="preserve">Kit completo para a realização do exame papanicolau - </t>
    </r>
    <r>
      <rPr>
        <sz val="10"/>
        <color rgb="FF000000"/>
        <rFont val="Arial Narrow"/>
        <family val="2"/>
      </rPr>
      <t>tamanho: G</t>
    </r>
    <r>
      <rPr>
        <b/>
        <sz val="10"/>
        <color rgb="FF000000"/>
        <rFont val="Arial Narrow"/>
        <family val="2"/>
      </rPr>
      <t>,</t>
    </r>
    <r>
      <rPr>
        <sz val="10"/>
        <color rgb="FF000000"/>
        <rFont val="Arial Narrow"/>
        <family val="2"/>
      </rPr>
      <t xml:space="preserve"> características adicionais: não estéril, kit contendo 1 espátula de Ayres, 1 escova cervical, 1 lâmina de vidro, 1 caixa porta-lâminas, 1 par de luvas e 1 espéculo tamanho G.</t>
    </r>
  </si>
  <si>
    <r>
      <rPr>
        <b/>
        <sz val="10"/>
        <color rgb="FF000000"/>
        <rFont val="Arial Narrow"/>
        <family val="2"/>
      </rPr>
      <t>Equipo macrogotas fotossensível -</t>
    </r>
    <r>
      <rPr>
        <sz val="10"/>
        <color rgb="FF000000"/>
        <rFont val="Arial Narrow"/>
        <family val="2"/>
      </rPr>
      <t xml:space="preserve"> medindo 1,50m, câmara gotejadora padrão macro gotas (1 ml = 20 gotas/ minuto). Utilizado para administração de medicamentos sensíveis a luz.
</t>
    </r>
  </si>
  <si>
    <r>
      <rPr>
        <b/>
        <sz val="10"/>
        <color theme="1"/>
        <rFont val="Arial Narrow"/>
        <family val="2"/>
      </rPr>
      <t>Lanceta, tipo: descartável -</t>
    </r>
    <r>
      <rPr>
        <sz val="10"/>
        <color theme="1"/>
        <rFont val="Arial Narrow"/>
        <family val="2"/>
      </rPr>
      <t xml:space="preserve"> tamanho: 28G, tipo: trifacetada, material: agulha de aço inoxidável, características adicionais: com dispositivo de segurança, estéril, segurança atendendo a norma NR32 aprovada pela portaria MTE 485 de 11/11/2005. Embalagem contendo externamente dados de identificação e procedência, lote e registro em órgão competente.</t>
    </r>
  </si>
  <si>
    <r>
      <rPr>
        <b/>
        <sz val="10"/>
        <color rgb="FF000000"/>
        <rFont val="Arial Narrow"/>
        <family val="2"/>
      </rPr>
      <t>Lençol descartável -</t>
    </r>
    <r>
      <rPr>
        <sz val="10"/>
        <color rgb="FF000000"/>
        <rFont val="Arial Narrow"/>
        <family val="2"/>
      </rPr>
      <t xml:space="preserve"> material: papel, dimensões: 70 cm de largura 50 m de comprimento, apresentação: rolo, aplicação: maca hospitalar. </t>
    </r>
  </si>
  <si>
    <r>
      <rPr>
        <b/>
        <sz val="10"/>
        <color rgb="FF000000"/>
        <rFont val="Arial Narrow"/>
        <family val="2"/>
      </rPr>
      <t xml:space="preserve">Lâmina bisturi - </t>
    </r>
    <r>
      <rPr>
        <sz val="10"/>
        <color rgb="FF000000"/>
        <rFont val="Arial Narrow"/>
        <family val="2"/>
      </rPr>
      <t>tamanho: Nº 24,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t>
    </r>
  </si>
  <si>
    <r>
      <rPr>
        <b/>
        <sz val="10"/>
        <color rgb="FF000000"/>
        <rFont val="Arial Narrow"/>
        <family val="2"/>
      </rPr>
      <t xml:space="preserve">Lâmina bisturi - </t>
    </r>
    <r>
      <rPr>
        <sz val="10"/>
        <color rgb="FF000000"/>
        <rFont val="Arial Narrow"/>
        <family val="2"/>
      </rPr>
      <t>tamanho: Nº 22,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t>
    </r>
  </si>
  <si>
    <r>
      <rPr>
        <b/>
        <sz val="10"/>
        <color rgb="FF000000"/>
        <rFont val="Arial Narrow"/>
        <family val="2"/>
      </rPr>
      <t xml:space="preserve">Lâmina de vidro - </t>
    </r>
    <r>
      <rPr>
        <sz val="10"/>
        <color rgb="FF000000"/>
        <rFont val="Arial Narrow"/>
        <family val="2"/>
      </rPr>
      <t>tipo: com extremidade fosca, dimensões: 26 x 76 mm, características adicionais: caixa com 50 unidades. Embalagem contendo externamente dados de identificação, procedência, lote, prazo de validade e registro em órgão competente.</t>
    </r>
  </si>
  <si>
    <r>
      <rPr>
        <b/>
        <sz val="10"/>
        <color rgb="FF000000"/>
        <rFont val="Arial Narrow"/>
        <family val="2"/>
      </rPr>
      <t xml:space="preserve">Luva cirúrgica - </t>
    </r>
    <r>
      <rPr>
        <sz val="10"/>
        <color rgb="FF000000"/>
        <rFont val="Arial Narrow"/>
        <family val="2"/>
      </rPr>
      <t>tamanho Nº 7,0,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t>
    </r>
  </si>
  <si>
    <r>
      <rPr>
        <b/>
        <sz val="10"/>
        <color rgb="FF000000"/>
        <rFont val="Arial Narrow"/>
        <family val="2"/>
      </rPr>
      <t xml:space="preserve">Luva cirúrgica - </t>
    </r>
    <r>
      <rPr>
        <sz val="10"/>
        <color rgb="FF000000"/>
        <rFont val="Arial Narrow"/>
        <family val="2"/>
      </rPr>
      <t>tamanho Nº 7,5</t>
    </r>
    <r>
      <rPr>
        <b/>
        <sz val="10"/>
        <color rgb="FF000000"/>
        <rFont val="Arial Narrow"/>
        <family val="2"/>
      </rPr>
      <t xml:space="preserve">, </t>
    </r>
    <r>
      <rPr>
        <sz val="10"/>
        <color rgb="FF000000"/>
        <rFont val="Arial Narrow"/>
        <family val="2"/>
      </rPr>
      <t>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t>
    </r>
  </si>
  <si>
    <r>
      <rPr>
        <b/>
        <sz val="10"/>
        <color rgb="FF000000"/>
        <rFont val="Arial Narrow"/>
        <family val="2"/>
      </rPr>
      <t xml:space="preserve">Luva cirúrgica - </t>
    </r>
    <r>
      <rPr>
        <sz val="10"/>
        <color rgb="FF000000"/>
        <rFont val="Arial Narrow"/>
        <family val="2"/>
      </rPr>
      <t>tamanho Nº 8,0,</t>
    </r>
    <r>
      <rPr>
        <b/>
        <sz val="10"/>
        <color rgb="FF000000"/>
        <rFont val="Arial Narrow"/>
        <family val="2"/>
      </rPr>
      <t xml:space="preserve"> </t>
    </r>
    <r>
      <rPr>
        <sz val="10"/>
        <color rgb="FF000000"/>
        <rFont val="Arial Narrow"/>
        <family val="2"/>
      </rPr>
      <t>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t>
    </r>
  </si>
  <si>
    <r>
      <rPr>
        <b/>
        <sz val="10"/>
        <color rgb="FF000000"/>
        <rFont val="Arial Narrow"/>
        <family val="2"/>
      </rPr>
      <t>Luva cirúrgica -</t>
    </r>
    <r>
      <rPr>
        <sz val="10"/>
        <color rgb="FF000000"/>
        <rFont val="Arial Narrow"/>
        <family val="2"/>
      </rPr>
      <t xml:space="preserve"> tamanho Nº 8,5,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t>
    </r>
  </si>
  <si>
    <r>
      <rPr>
        <b/>
        <sz val="10"/>
        <color rgb="FF000000"/>
        <rFont val="Arial Narrow"/>
        <family val="2"/>
      </rPr>
      <t>Localizador de veias -</t>
    </r>
    <r>
      <rPr>
        <sz val="10"/>
        <color rgb="FF000000"/>
        <rFont val="Arial Narrow"/>
        <family val="2"/>
      </rPr>
      <t xml:space="preserve"> tipo: portátil (scanner venoso), alimentação: pilha alcalinas tipo AA, características adicionais: LEDs na cor vermelha, utilizado para facilitar e otimizar a busca venosa em pacientes, embalagem contendo 02 pilhas alcalinas já inclusas no tamanho AA.</t>
    </r>
  </si>
  <si>
    <r>
      <rPr>
        <b/>
        <sz val="10"/>
        <color rgb="FF000000"/>
        <rFont val="Arial Narrow"/>
        <family val="2"/>
      </rPr>
      <t>Lâmpada laringoscópio -</t>
    </r>
    <r>
      <rPr>
        <sz val="10"/>
        <color rgb="FF000000"/>
        <rFont val="Arial Narrow"/>
        <family val="2"/>
      </rPr>
      <t xml:space="preserve"> tensão nominal: 2,5 V</t>
    </r>
    <r>
      <rPr>
        <b/>
        <sz val="10"/>
        <color rgb="FF000000"/>
        <rFont val="Arial Narrow"/>
        <family val="2"/>
      </rPr>
      <t>,</t>
    </r>
    <r>
      <rPr>
        <sz val="10"/>
        <color rgb="FF000000"/>
        <rFont val="Arial Narrow"/>
        <family val="2"/>
      </rPr>
      <t xml:space="preserve"> tipo: led, aplicação: rosca grande universal.</t>
    </r>
  </si>
  <si>
    <r>
      <rPr>
        <b/>
        <sz val="10"/>
        <color rgb="FF000000"/>
        <rFont val="Arial Narrow"/>
        <family val="2"/>
      </rPr>
      <t>Máscara descartável cirúrgica</t>
    </r>
    <r>
      <rPr>
        <sz val="10"/>
        <color rgb="FF000000"/>
        <rFont val="Arial Narrow"/>
        <family val="2"/>
      </rPr>
      <t>, material: confeccionada em TNT (tecido não tecido), características adicionais: atóxico, 100% polipropileno, com retenção batecriológica +/- 95%, para proporcionar maior segurança e conforto ao profissional, tripla com elástico, cor: branca, caixa com 50 unidades.</t>
    </r>
  </si>
  <si>
    <r>
      <rPr>
        <b/>
        <sz val="10"/>
        <color rgb="FF000000"/>
        <rFont val="Arial Narrow"/>
        <family val="2"/>
      </rPr>
      <t>Máscara de proteção -</t>
    </r>
    <r>
      <rPr>
        <sz val="10"/>
        <color rgb="FF000000"/>
        <rFont val="Arial Narrow"/>
        <family val="2"/>
      </rPr>
      <t xml:space="preserve"> classe: N95, PFF2,  tipo: cirúrgica, tipo uso: semi-descartável, tipo fixação: tiras elásticas com vedação anatômica, tamanho e aplicação: adulto, características adicionais: filtragem bacteriana 99%, tripla camada. Embalagem contendo externamente dados de identificação e procedência, com registro ANVISA.</t>
    </r>
  </si>
  <si>
    <r>
      <rPr>
        <b/>
        <sz val="10"/>
        <color rgb="FF000000"/>
        <rFont val="Arial Narrow"/>
        <family val="2"/>
      </rPr>
      <t>Malha tubular ortopédica -</t>
    </r>
    <r>
      <rPr>
        <sz val="10"/>
        <color rgb="FF000000"/>
        <rFont val="Arial Narrow"/>
        <family val="2"/>
      </rPr>
      <t xml:space="preserve"> dimensões: 6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t>
    </r>
  </si>
  <si>
    <r>
      <rPr>
        <b/>
        <sz val="10"/>
        <color rgb="FF000000"/>
        <rFont val="Arial Narrow"/>
        <family val="2"/>
      </rPr>
      <t xml:space="preserve">Malha tubular ortopédica, dimensões: 8 cm de largura e 15 m de comprimento, </t>
    </r>
    <r>
      <rPr>
        <sz val="10"/>
        <color rgb="FF000000"/>
        <rFont val="Arial Narrow"/>
        <family val="2"/>
      </rPr>
      <t>material: 100% algodão, características adicionais: tipo punho simples de malha, com elasticidade adequada, isenta de defeitos, descartável, não estéril e higiênico. Embalagem contendo externamente dados de identificação e procedência, lote e registro em órgão competente.</t>
    </r>
  </si>
  <si>
    <r>
      <rPr>
        <b/>
        <sz val="10"/>
        <color rgb="FF000000"/>
        <rFont val="Arial Narrow"/>
        <family val="2"/>
      </rPr>
      <t xml:space="preserve">Malha tubular ortopédica - </t>
    </r>
    <r>
      <rPr>
        <sz val="10"/>
        <color rgb="FF000000"/>
        <rFont val="Arial Narrow"/>
        <family val="2"/>
      </rPr>
      <t>dimensões: 10 cm de largura e 15 m de comprimento,</t>
    </r>
    <r>
      <rPr>
        <b/>
        <sz val="10"/>
        <color rgb="FF000000"/>
        <rFont val="Arial Narrow"/>
        <family val="2"/>
      </rPr>
      <t xml:space="preserve"> </t>
    </r>
    <r>
      <rPr>
        <sz val="10"/>
        <color rgb="FF000000"/>
        <rFont val="Arial Narrow"/>
        <family val="2"/>
      </rPr>
      <t>material: 100% algodão, características adicionais: tipo punho simples de malha, com elasticidade adequada, isenta de defeitos, descartável, não estéril e higiênico. Embalagem contendo externamente dados de identificação e procedência, lote e registro em órgão competente.</t>
    </r>
  </si>
  <si>
    <r>
      <rPr>
        <b/>
        <sz val="10"/>
        <color rgb="FF000000"/>
        <rFont val="Arial Narrow"/>
        <family val="2"/>
      </rPr>
      <t>Malha tubular ortopédica -</t>
    </r>
    <r>
      <rPr>
        <sz val="10"/>
        <color rgb="FF000000"/>
        <rFont val="Arial Narrow"/>
        <family val="2"/>
      </rPr>
      <t xml:space="preserve"> dimensões: 15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t>
    </r>
  </si>
  <si>
    <r>
      <rPr>
        <b/>
        <sz val="10"/>
        <color rgb="FF000000"/>
        <rFont val="Arial Narrow"/>
        <family val="2"/>
      </rPr>
      <t xml:space="preserve">Manta térmica - </t>
    </r>
    <r>
      <rPr>
        <sz val="10"/>
        <color rgb="FF000000"/>
        <rFont val="Arial Narrow"/>
        <family val="2"/>
      </rPr>
      <t xml:space="preserve">tipo: aluminizada, material: poliéster metalizado, dimensões mínimas: 2,10 x 1,40 m, uso: isolante térmico indicado para o resgate de pacientes quando for necessário manter o calor do corpo, evitando o choque térmico. </t>
    </r>
  </si>
  <si>
    <r>
      <rPr>
        <b/>
        <sz val="10"/>
        <color rgb="FF000000"/>
        <rFont val="Arial Narrow"/>
        <family val="2"/>
      </rPr>
      <t>Máscara com reservatório de não reinalação adulto -</t>
    </r>
    <r>
      <rPr>
        <sz val="10"/>
        <color rgb="FF000000"/>
        <rFont val="Arial Narrow"/>
        <family val="2"/>
      </rPr>
      <t xml:space="preserve"> 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adulto.</t>
    </r>
  </si>
  <si>
    <r>
      <rPr>
        <b/>
        <sz val="10"/>
        <color rgb="FF000000"/>
        <rFont val="Arial Narrow"/>
        <family val="2"/>
      </rPr>
      <t>Máscara com reservatório de não reinalação infantil -</t>
    </r>
    <r>
      <rPr>
        <sz val="10"/>
        <color rgb="FF000000"/>
        <rFont val="Arial Narrow"/>
        <family val="2"/>
      </rPr>
      <t>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pediátrico.</t>
    </r>
  </si>
  <si>
    <r>
      <rPr>
        <b/>
        <sz val="10"/>
        <color theme="1"/>
        <rFont val="Arial Narrow"/>
        <family val="2"/>
      </rPr>
      <t>Máscara facial protetora -</t>
    </r>
    <r>
      <rPr>
        <sz val="10"/>
        <color theme="1"/>
        <rFont val="Arial Narrow"/>
        <family val="2"/>
      </rPr>
      <t xml:space="preserve"> modelo: face shield, material: pet e polipropileno, esterilidade: esterilizável, características adicionais: com visor transparente, ajustável, com cinta e testeira</t>
    </r>
    <r>
      <rPr>
        <sz val="10"/>
        <rFont val="Arial Narrow"/>
        <family val="2"/>
      </rPr>
      <t>, tamanho: único,</t>
    </r>
    <r>
      <rPr>
        <sz val="10"/>
        <color theme="1"/>
        <rFont val="Arial Narrow"/>
        <family val="2"/>
      </rPr>
      <t xml:space="preserve"> características adicionais: com registro em órgão competente.</t>
    </r>
  </si>
  <si>
    <r>
      <rPr>
        <b/>
        <sz val="10"/>
        <color theme="1"/>
        <rFont val="Arial Narrow"/>
        <family val="2"/>
      </rPr>
      <t xml:space="preserve">Macacão de segurança - </t>
    </r>
    <r>
      <rPr>
        <sz val="10"/>
        <color theme="1"/>
        <rFont val="Arial Narrow"/>
        <family val="2"/>
      </rPr>
      <t>tipo: de proteção impermeável, tamanho: médio, material: não-tecido de polipropileno laminado (TNT) impermeáve,</t>
    </r>
    <r>
      <rPr>
        <sz val="10"/>
        <color rgb="FFFF0000"/>
        <rFont val="Arial Narrow"/>
        <family val="2"/>
      </rPr>
      <t xml:space="preserve"> </t>
    </r>
    <r>
      <rPr>
        <sz val="10"/>
        <color theme="1"/>
        <rFont val="Arial Narrow"/>
        <family val="2"/>
      </rPr>
      <t>características adicionais</t>
    </r>
    <r>
      <rPr>
        <sz val="10"/>
        <color rgb="FFFF0000"/>
        <rFont val="Arial Narrow"/>
        <family val="2"/>
      </rPr>
      <t xml:space="preserve">: </t>
    </r>
    <r>
      <rPr>
        <sz val="10"/>
        <color theme="1"/>
        <rFont val="Arial Narrow"/>
        <family val="2"/>
      </rPr>
      <t>confeccionado com zíper na parte frontal, elásticos nos punhos, cintura, tornozelos e capuz, não acompanha máscara, bota e luva, com registro em órgão competente.</t>
    </r>
  </si>
  <si>
    <r>
      <rPr>
        <b/>
        <sz val="10"/>
        <color theme="1"/>
        <rFont val="Arial Narrow"/>
        <family val="2"/>
      </rPr>
      <t xml:space="preserve">Macacão de segurança - </t>
    </r>
    <r>
      <rPr>
        <sz val="10"/>
        <color theme="1"/>
        <rFont val="Arial Narrow"/>
        <family val="2"/>
      </rPr>
      <t xml:space="preserve">tipo: de proteção impermeável, tamanho: grande, </t>
    </r>
    <r>
      <rPr>
        <sz val="10"/>
        <rFont val="Arial Narrow"/>
        <family val="2"/>
      </rPr>
      <t xml:space="preserve">material: não-tecido de polipropileno laminado (TNT) impermeáve, </t>
    </r>
    <r>
      <rPr>
        <sz val="10"/>
        <color theme="1"/>
        <rFont val="Arial Narrow"/>
        <family val="2"/>
      </rPr>
      <t>características adicionais: confeccionado com zíper na parte frontal, elásticos nos punhos, cintura, tornozelos e capuz, não acompanha máscara, bota e luva, com registro em órgão competente.</t>
    </r>
  </si>
  <si>
    <r>
      <rPr>
        <b/>
        <sz val="10"/>
        <color theme="1"/>
        <rFont val="Arial Narrow"/>
        <family val="2"/>
      </rPr>
      <t xml:space="preserve">Macacão de segurança - </t>
    </r>
    <r>
      <rPr>
        <sz val="10"/>
        <color theme="1"/>
        <rFont val="Arial Narrow"/>
        <family val="2"/>
      </rPr>
      <t xml:space="preserve">tipo: de proteção impermeável, tamanho: XG, </t>
    </r>
    <r>
      <rPr>
        <sz val="10"/>
        <rFont val="Arial Narrow"/>
        <family val="2"/>
      </rPr>
      <t>material: não-tecido de polipropileno laminado (TNT) impermeáve, car</t>
    </r>
    <r>
      <rPr>
        <sz val="10"/>
        <color theme="1"/>
        <rFont val="Arial Narrow"/>
        <family val="2"/>
      </rPr>
      <t>acterísticas adicionais: confeccionado com zíper na parte frontal, elásticos nos punhos, cintura, tornozelos e capuz, não acompanha máscara, bota e luva, com registro em órgão competente.</t>
    </r>
  </si>
  <si>
    <r>
      <rPr>
        <b/>
        <sz val="10"/>
        <color rgb="FF000000"/>
        <rFont val="Arial Narrow"/>
        <family val="2"/>
      </rPr>
      <t>Maca de resgate -</t>
    </r>
    <r>
      <rPr>
        <sz val="10"/>
        <color rgb="FF000000"/>
        <rFont val="Arial Narrow"/>
        <family val="2"/>
      </rPr>
      <t xml:space="preserve"> tipo: prancha, material: polietileno, capacidade de carga: até 120 KG, componentes: com cintos, pegadores amplos, rígida, leve e confortável.</t>
    </r>
  </si>
  <si>
    <r>
      <rPr>
        <b/>
        <sz val="10"/>
        <color rgb="FF000000"/>
        <rFont val="Arial Narrow"/>
        <family val="2"/>
      </rPr>
      <t xml:space="preserve">Maca de resgate - </t>
    </r>
    <r>
      <rPr>
        <sz val="10"/>
        <color rgb="FF000000"/>
        <rFont val="Arial Narrow"/>
        <family val="2"/>
      </rPr>
      <t xml:space="preserve">tipo: prancha, material: polietileno, capacidade de carga: mínimo de 150 KG, componentes: com cintos, pegadores amplos, rígida, leve e confortável, dimensões mínimas: 40 cm de largura. </t>
    </r>
  </si>
  <si>
    <r>
      <rPr>
        <b/>
        <sz val="10"/>
        <color rgb="FF000000"/>
        <rFont val="Arial Narrow"/>
        <family val="2"/>
      </rPr>
      <t xml:space="preserve">Óculos para proteção individual - </t>
    </r>
    <r>
      <rPr>
        <sz val="10"/>
        <color rgb="FF000000"/>
        <rFont val="Arial Narrow"/>
        <family val="2"/>
      </rPr>
      <t xml:space="preserve">cor da lente: incolor (transparente), material: em acrílico cristal (incolor), características adicionais: resistente a desinfecções, que permita boa visibilidade, haste dobráveis. </t>
    </r>
  </si>
  <si>
    <r>
      <rPr>
        <b/>
        <sz val="10"/>
        <color rgb="FF000000"/>
        <rFont val="Arial Narrow"/>
        <family val="2"/>
      </rPr>
      <t xml:space="preserve">Oxímetro digital - </t>
    </r>
    <r>
      <rPr>
        <sz val="10"/>
        <color rgb="FF000000"/>
        <rFont val="Arial Narrow"/>
        <family val="2"/>
      </rPr>
      <t xml:space="preserve">tipo: portátil, tipo uso: neonatal, características adicionais: medidor de pulsação, oxigenação e saturação no sangue, alimentado por pilha, de baixo consumo, visor em LED. </t>
    </r>
  </si>
  <si>
    <r>
      <rPr>
        <b/>
        <sz val="10"/>
        <color theme="1"/>
        <rFont val="Arial Narrow"/>
        <family val="2"/>
      </rPr>
      <t xml:space="preserve">Oxímetro digital de pulso - </t>
    </r>
    <r>
      <rPr>
        <sz val="10"/>
        <color theme="1"/>
        <rFont val="Arial Narrow"/>
        <family val="2"/>
      </rPr>
      <t xml:space="preserve">tipo: portátil, características adicionais: medidor de pulsação e oxigenação, alimentado por pilha, de baixo consumo, acompanha capa protetora em silicone e estojo para armazenamento, visor em LED. </t>
    </r>
  </si>
  <si>
    <r>
      <t>Pinça cirúrgica -</t>
    </r>
    <r>
      <rPr>
        <sz val="10"/>
        <color rgb="FF000000"/>
        <rFont val="Arial Narrow"/>
        <family val="2"/>
      </rPr>
      <t xml:space="preserve"> modelo: Kelly, comprimento total: 14 cm, material: aço inoxidável, formato da ponta: reta, com serrilha, características adicionais: esterilizável, com registro ANVISA.</t>
    </r>
  </si>
  <si>
    <r>
      <rPr>
        <b/>
        <sz val="10"/>
        <color theme="1"/>
        <rFont val="Arial Narrow"/>
        <family val="2"/>
      </rPr>
      <t xml:space="preserve">Pinça anatômica - </t>
    </r>
    <r>
      <rPr>
        <sz val="10"/>
        <color theme="1"/>
        <rFont val="Arial Narrow"/>
        <family val="2"/>
      </rPr>
      <t xml:space="preserve">modelo: dissecção, comprimento total: cerca de 18 cm, material: em aço inoxidável 304, formato da ponta: ponta reta serrilhada, esterilidade: esterilizável, características: para uso geral, embalagem contendo externamente dados de identificação,  procedência, lote, e registro em orgão competente. </t>
    </r>
  </si>
  <si>
    <r>
      <rPr>
        <b/>
        <sz val="10"/>
        <color rgb="FF000000"/>
        <rFont val="Arial Narrow"/>
        <family val="2"/>
      </rPr>
      <t>Pulseira para identificação -</t>
    </r>
    <r>
      <rPr>
        <sz val="10"/>
        <color rgb="FF000000"/>
        <rFont val="Arial Narrow"/>
        <family val="2"/>
      </rPr>
      <t xml:space="preserve"> aplicação: recém nascido, material: plástico macio, resistente e antialérgico, características adicionais: com lacre inviolável, descartável.</t>
    </r>
  </si>
  <si>
    <r>
      <rPr>
        <b/>
        <sz val="10"/>
        <color rgb="FF000000"/>
        <rFont val="Arial Narrow"/>
        <family val="2"/>
      </rPr>
      <t>Perfurador de membrana amniótica -</t>
    </r>
    <r>
      <rPr>
        <sz val="10"/>
        <color rgb="FF000000"/>
        <rFont val="Arial Narrow"/>
        <family val="2"/>
      </rPr>
      <t xml:space="preserve"> material: plástico resistente, dimensões mínimas: 25 cm de comprimento, esterelidade: estéril, descartável, características adicionais: embalagem individual em papel grau cirúrgico ou filme termoplástico confeccionada sem rebarbas no acabamento, embalagem individual em papel grau cirúrgico, esterilizado a óxido de etileno. Embalagem contendo dados de identificação, procedência, lote, validade e registro em órgão competente.</t>
    </r>
  </si>
  <si>
    <r>
      <rPr>
        <b/>
        <sz val="10"/>
        <color rgb="FF000000"/>
        <rFont val="Arial Narrow"/>
        <family val="2"/>
      </rPr>
      <t>Papel termossensível -</t>
    </r>
    <r>
      <rPr>
        <sz val="10"/>
        <color rgb="FF000000"/>
        <rFont val="Arial Narrow"/>
        <family val="2"/>
      </rPr>
      <t xml:space="preserve"> aplicação: ECG, dimensões: 58mm x 30m, características adicionais: ccom escala própria, para o registro e adaptação no monitor cardiográfico. Em embalagem contendo externamente dados de identificação, procedência, data e registro em órgão competente. </t>
    </r>
  </si>
  <si>
    <r>
      <rPr>
        <b/>
        <sz val="10"/>
        <color rgb="FF000000"/>
        <rFont val="Arial Narrow"/>
        <family val="2"/>
      </rPr>
      <t>Papel termossensível -</t>
    </r>
    <r>
      <rPr>
        <sz val="10"/>
        <color rgb="FF000000"/>
        <rFont val="Arial Narrow"/>
        <family val="2"/>
      </rPr>
      <t xml:space="preserve"> aplicação: ECG, dimensões: 80mm x 30m, características adicionais: ccom escala própria, para o registro e adaptação no monitor cardiográfico. Em embalagem contendo externamente dados de identificação, procedência, data e registro em órgão competente. </t>
    </r>
  </si>
  <si>
    <r>
      <rPr>
        <b/>
        <sz val="10"/>
        <color rgb="FF000000"/>
        <rFont val="Arial Narrow"/>
        <family val="2"/>
      </rPr>
      <t xml:space="preserve">Papel grau cirúrgico, 150mm x 100m - </t>
    </r>
    <r>
      <rPr>
        <sz val="10"/>
        <color rgb="FF000000"/>
        <rFont val="Arial Narrow"/>
        <family val="2"/>
      </rPr>
      <t>embalagem tubular para esterilização, embalagem tubular descartável termoselável para esterilização de material médico-hospitalar em autoclave a vapor ou óxido de etileno medindo 150mm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numero de registro na ANVISA, data de fabricação, validade, nome do fabricante.</t>
    </r>
  </si>
  <si>
    <r>
      <rPr>
        <b/>
        <sz val="10"/>
        <color rgb="FF000000"/>
        <rFont val="Arial Narrow"/>
        <family val="2"/>
      </rPr>
      <t xml:space="preserve">Papel grau cirúrgico 250mm x 100m - </t>
    </r>
    <r>
      <rPr>
        <sz val="10"/>
        <color rgb="FF000000"/>
        <rFont val="Arial Narrow"/>
        <family val="2"/>
      </rPr>
      <t>embalagem tubular para esterilização, embalagem tubular descartável termoselável para esterilização de material médico-hospitalar em autoclave a vapor ou óxido de etileno medindo 250mm x 100m em dupla face, sendo uma das faces em papel grau cirúrgico, isento de furos, rasgos, rugas, manchas, substâncias tóxicas, corantes, odores desagradáveis quando úmido ou seco, resistência ao calor em ambas as faces até 140º c. a embalagem deve apresentar numero de lote impresso, número de registro na ANVISA, data de fabricação, validade, nome do fabricante.</t>
    </r>
  </si>
  <si>
    <r>
      <rPr>
        <b/>
        <sz val="10"/>
        <color rgb="FF000000"/>
        <rFont val="Arial Narrow"/>
        <family val="2"/>
      </rPr>
      <t xml:space="preserve">Papel grau cirúrgico, 300 mm x 100m - </t>
    </r>
    <r>
      <rPr>
        <sz val="10"/>
        <color rgb="FF000000"/>
        <rFont val="Arial Narrow"/>
        <family val="2"/>
      </rPr>
      <t>embalagem tubular descartável termoselável para esterilização de material médico-hospitalar em autoclave a vapor ou óxido de etileno medindo 300mm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número de registro na ANVISA, data de fabricação, validade, nome do fabricante.</t>
    </r>
  </si>
  <si>
    <r>
      <rPr>
        <b/>
        <sz val="10"/>
        <color theme="1"/>
        <rFont val="Arial Narrow"/>
        <family val="2"/>
      </rPr>
      <t>Pinça cirúrgica -</t>
    </r>
    <r>
      <rPr>
        <sz val="10"/>
        <color theme="1"/>
        <rFont val="Arial Narrow"/>
        <family val="2"/>
      </rPr>
      <t xml:space="preserve"> modelo: crile, formato ponta: curva, tamanho: 16 cm, material: aço inoxidável AISI-420. esterilidade: esterilizável, características adicionais: embalagem plástica individual, constando os dados de identificação, procedência, rastreabilidade e registro em órgão competente.</t>
    </r>
  </si>
  <si>
    <r>
      <rPr>
        <b/>
        <sz val="10"/>
        <color theme="1"/>
        <rFont val="Arial Narrow"/>
        <family val="2"/>
      </rPr>
      <t>Pinça cirúrgica -</t>
    </r>
    <r>
      <rPr>
        <sz val="10"/>
        <color theme="1"/>
        <rFont val="Arial Narrow"/>
        <family val="2"/>
      </rPr>
      <t xml:space="preserve"> modelo: crile, formato ponta: reta, tamanho: 16 cm, material: aço inoxidável AISI-420. esterilidade: esterilizável, características adicionais: embalagem plástica individual, constando os dados de identificação, procedência, rastreabilidade e registro em órgão competente.</t>
    </r>
  </si>
  <si>
    <r>
      <rPr>
        <b/>
        <sz val="10"/>
        <color theme="1"/>
        <rFont val="Arial Narrow"/>
        <family val="2"/>
      </rPr>
      <t>Pinça cirúrgica -</t>
    </r>
    <r>
      <rPr>
        <sz val="10"/>
        <color theme="1"/>
        <rFont val="Arial Narrow"/>
        <family val="2"/>
      </rPr>
      <t xml:space="preserve"> modelo: Kelly, formato ponta: reta, tamanho: 16 cm, material: aço inoxidável AISI-420. esterilidade: esterilizável, características adicionais: embalagem plástica individual, constando os dados de identificação, procedência, rastreabilidade e registro em órgão competente.</t>
    </r>
  </si>
  <si>
    <r>
      <rPr>
        <b/>
        <sz val="10"/>
        <color theme="1"/>
        <rFont val="Arial Narrow"/>
        <family val="2"/>
      </rPr>
      <t>Pinça cirúrgica -</t>
    </r>
    <r>
      <rPr>
        <sz val="10"/>
        <color theme="1"/>
        <rFont val="Arial Narrow"/>
        <family val="2"/>
      </rPr>
      <t xml:space="preserve"> modelo: Kelly, formato ponta: curva, tamanho: 16 cm,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</si>
  <si>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Pinça anatômica -</t>
    </r>
    <r>
      <rPr>
        <sz val="10"/>
        <color rgb="FF000000"/>
        <rFont val="Arial Narrow"/>
        <family val="2"/>
      </rPr>
      <t xml:space="preserve"> modelo: dissecção, formato ponta: reta serrilhada, tamanho: 12 cm,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</si>
  <si>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Pinça anatômica, modelo: dissecção, formato ponta: reta serrilhada, tamanho: 16 cm</t>
    </r>
    <r>
      <rPr>
        <sz val="10"/>
        <color rgb="FF000000"/>
        <rFont val="Arial Narrow"/>
        <family val="2"/>
      </rPr>
      <t>,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</si>
  <si>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 xml:space="preserve">Pinça cirúrgica - </t>
    </r>
    <r>
      <rPr>
        <sz val="10"/>
        <color rgb="FF000000"/>
        <rFont val="Arial Narrow"/>
        <family val="2"/>
      </rPr>
      <t>modelo: mosquito, formato ponta: curva, tamanho: 10 cm, material: aço inoxidável AISI-420, esterilidade: esterilizável, características adicionais: possui travas para mantê-la fechada, embalagem plástica individual, constando os dados de identificação, procedência, rastreabilidade e registro em órgão competente.</t>
    </r>
  </si>
  <si>
    <r>
      <rPr>
        <b/>
        <sz val="10"/>
        <color rgb="FF000000"/>
        <rFont val="Arial Narrow"/>
        <family val="2"/>
      </rPr>
      <t>Pinça cirúrgica -</t>
    </r>
    <r>
      <rPr>
        <sz val="10"/>
        <color rgb="FF000000"/>
        <rFont val="Arial Narrow"/>
        <family val="2"/>
      </rPr>
      <t xml:space="preserve"> modelo: mosquito, formato ponta: reta, tamanho: 10 cm,</t>
    </r>
    <r>
      <rPr>
        <b/>
        <sz val="10"/>
        <color rgb="FF000000"/>
        <rFont val="Arial Narrow"/>
        <family val="2"/>
      </rPr>
      <t xml:space="preserve"> </t>
    </r>
    <r>
      <rPr>
        <sz val="10"/>
        <color rgb="FF000000"/>
        <rFont val="Arial Narrow"/>
        <family val="2"/>
      </rPr>
      <t>material: aço inoxidável AISI-420, esterilidade: esterilizável, características adicionais: possui travas para mantê-la fechada, embalagem plástica individual, constando os dados de identificação, procedência, rastreabilidade e registro em órgão competente.</t>
    </r>
  </si>
  <si>
    <r>
      <rPr>
        <b/>
        <sz val="10"/>
        <color rgb="FF000000"/>
        <rFont val="Arial Narrow"/>
        <family val="2"/>
      </rPr>
      <t xml:space="preserve">Pinça cirúrgica - </t>
    </r>
    <r>
      <rPr>
        <sz val="10"/>
        <color rgb="FF000000"/>
        <rFont val="Arial Narrow"/>
        <family val="2"/>
      </rPr>
      <t>modelo: Magil, formato ponta: retas e serrilhadas, tamanho: 20 cm,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</si>
  <si>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Porta-agulha instrumental -</t>
    </r>
    <r>
      <rPr>
        <sz val="10"/>
        <color rgb="FF000000"/>
        <rFont val="Arial Narrow"/>
        <family val="2"/>
      </rPr>
      <t xml:space="preserve"> modelo: Mayo Hegar, tamanho: 14 cm,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</si>
  <si>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Porta-agulha instrumental -</t>
    </r>
    <r>
      <rPr>
        <sz val="10"/>
        <color rgb="FF000000"/>
        <rFont val="Arial Narrow"/>
        <family val="2"/>
      </rPr>
      <t xml:space="preserve"> modelo: Mayo Hegar, tamanho: 20 cm,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</si>
  <si>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Pá para desfibrilador -</t>
    </r>
    <r>
      <rPr>
        <sz val="10"/>
        <color rgb="FF000000"/>
        <rFont val="Arial Narrow"/>
        <family val="2"/>
      </rPr>
      <t xml:space="preserve"> tipo: adesiva, tipo equipamento: externo automático, tamanho: adulto, esterilidade: descartável, características adicionais: utilização em pacientes em situações de parada cardio respiratória, referência: compatibilidade com modelo antigo, conector azul e branco.</t>
    </r>
  </si>
  <si>
    <r>
      <rPr>
        <b/>
        <sz val="10"/>
        <color rgb="FF000000"/>
        <rFont val="Arial Narrow"/>
        <family val="2"/>
      </rPr>
      <t>Pá para desfibrilador -</t>
    </r>
    <r>
      <rPr>
        <sz val="10"/>
        <color rgb="FF000000"/>
        <rFont val="Arial Narrow"/>
        <family val="2"/>
      </rPr>
      <t xml:space="preserve"> tipo: adesiva, tipo equipamento: externo automático, tamanho: pediátrica, esterilidade: descartável, características adicionais: utilização em pacientes em situações de parada cardio respiratória, referência: compatibilidade com modelo antigo, conector azul e branco.</t>
    </r>
  </si>
  <si>
    <r>
      <rPr>
        <b/>
        <sz val="10"/>
        <color rgb="FF000000"/>
        <rFont val="Arial Narrow"/>
        <family val="2"/>
      </rPr>
      <t xml:space="preserve">Pinça clínica - </t>
    </r>
    <r>
      <rPr>
        <sz val="10"/>
        <color rgb="FF000000"/>
        <rFont val="Arial Narrow"/>
        <family val="2"/>
      </rPr>
      <t>aplicação: para algodão, tamanho: Nº 17, material: aço inoxidável, esterilidade: autoclavável, características adicionais: utilizada para realização de curativos e desinfecção de feridas em pacientes com ferimentos contaminados, embalagem plástica individual, constando os dados de identificação, e registro em órgão competente.</t>
    </r>
  </si>
  <si>
    <r>
      <rPr>
        <b/>
        <sz val="10"/>
        <color rgb="FF000000"/>
        <rFont val="Arial Narrow"/>
        <family val="2"/>
      </rPr>
      <t xml:space="preserve">Reagente para diagnóstico clínico - </t>
    </r>
    <r>
      <rPr>
        <sz val="10"/>
        <color rgb="FF000000"/>
        <rFont val="Arial Narrow"/>
        <family val="2"/>
      </rPr>
      <t xml:space="preserve">tipo: uroanálise, apresentação: tira, caixa com 150 unidades, características adicionais: tiras reativas que possuem 11 áreas para a determinação rápida de: sangue, urobilinogênio, bilirrubina, proteínas, nitrito, corpos cetônicos, ácido ascórbico, glicose, pH, densidade e leucócitos em amostras de urina. Em embalagem contendo externamente dados de identificação e procedência. </t>
    </r>
  </si>
  <si>
    <r>
      <rPr>
        <b/>
        <sz val="10"/>
        <color rgb="FF000000"/>
        <rFont val="Arial Narrow"/>
        <family val="2"/>
      </rPr>
      <t>Reagente para diagnóstico clínico -</t>
    </r>
    <r>
      <rPr>
        <sz val="10"/>
        <color rgb="FF000000"/>
        <rFont val="Arial Narrow"/>
        <family val="2"/>
      </rPr>
      <t xml:space="preserve"> tipo de análise: determinação de glicose no sangue, apresentação: tira, apresentação: caixa com 50 tiras,</t>
    </r>
    <r>
      <rPr>
        <b/>
        <sz val="10"/>
        <color rgb="FF000000"/>
        <rFont val="Arial Narrow"/>
        <family val="2"/>
      </rPr>
      <t xml:space="preserve"> </t>
    </r>
    <r>
      <rPr>
        <sz val="10"/>
        <color rgb="FF000000"/>
        <rFont val="Arial Narrow"/>
        <family val="2"/>
      </rPr>
      <t xml:space="preserve">características adicionais: reagente, para indicação de glicemia no sangue, capilar/venoso, compatível com aparelho especificado, o qual deverá ser oferecido quando solicitado, tubos com 50 fitas individuais, para uso manual, a empresa ganhadora das fitas deverá fornecer os aparelhos em regime de comodato. Embalagem contendo externamente dados de identificação e procedência, lote, prazo de validade e registro em órgão competente. </t>
    </r>
  </si>
  <si>
    <r>
      <rPr>
        <b/>
        <sz val="10"/>
        <color rgb="FF000000"/>
        <rFont val="Arial Narrow"/>
        <family val="2"/>
      </rPr>
      <t>Sapatilha hospitalar -</t>
    </r>
    <r>
      <rPr>
        <sz val="10"/>
        <color rgb="FF000000"/>
        <rFont val="Arial Narrow"/>
        <family val="2"/>
      </rPr>
      <t xml:space="preserve"> tipo uso: descartável, material: confeccionada em tecido (sem textura firme), modelo tipo: bota, tamanho: único, características adicionais: modelo de forma que permita a cobertura completa do calçado até o tornozelo, com elástico em toda a sua volta,cor: verde ou branca. Embalagem contendo externamente dados de identificação e procedência.</t>
    </r>
  </si>
  <si>
    <r>
      <rPr>
        <b/>
        <sz val="10"/>
        <color rgb="FF000000"/>
        <rFont val="Arial Narrow"/>
        <family val="2"/>
      </rPr>
      <t xml:space="preserve">Seringa - </t>
    </r>
    <r>
      <rPr>
        <sz val="10"/>
        <color rgb="FF000000"/>
        <rFont val="Arial Narrow"/>
        <family val="2"/>
      </rPr>
      <t>capacidade: 1ML, medidas: com agulha 13x0,45mm</t>
    </r>
    <r>
      <rPr>
        <b/>
        <sz val="10"/>
        <color rgb="FF000000"/>
        <rFont val="Arial Narrow"/>
        <family val="2"/>
      </rPr>
      <t>,</t>
    </r>
    <r>
      <rPr>
        <sz val="10"/>
        <color rgb="FF000000"/>
        <rFont val="Arial Narrow"/>
        <family val="2"/>
      </rPr>
      <t xml:space="preserve"> tipo uso: descartável,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t>
    </r>
  </si>
  <si>
    <r>
      <rPr>
        <b/>
        <sz val="10"/>
        <color rgb="FF000000"/>
        <rFont val="Arial Narrow"/>
        <family val="2"/>
      </rPr>
      <t xml:space="preserve">Seringa, capacidade: 10ML, com agulha, tipo uso: descartável, </t>
    </r>
    <r>
      <rPr>
        <sz val="10"/>
        <color rgb="FF000000"/>
        <rFont val="Arial Narrow"/>
        <family val="2"/>
      </rPr>
      <t>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t>
    </r>
  </si>
  <si>
    <r>
      <rPr>
        <b/>
        <sz val="10"/>
        <color rgb="FF000000"/>
        <rFont val="Arial Narrow"/>
        <family val="2"/>
      </rPr>
      <t>Seringa -</t>
    </r>
    <r>
      <rPr>
        <sz val="10"/>
        <color rgb="FF000000"/>
        <rFont val="Arial Narrow"/>
        <family val="2"/>
      </rPr>
      <t xml:space="preserve"> capacidade: 20ML, medidas: </t>
    </r>
    <r>
      <rPr>
        <sz val="10"/>
        <rFont val="Arial Narrow"/>
        <family val="2"/>
      </rPr>
      <t xml:space="preserve">com agulha, </t>
    </r>
    <r>
      <rPr>
        <sz val="10"/>
        <color rgb="FF000000"/>
        <rFont val="Arial Narrow"/>
        <family val="2"/>
      </rPr>
      <t>tipo uso: descartável, 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</si>
  <si>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N°08,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
</t>
    </r>
  </si>
  <si>
    <r>
      <rPr>
        <b/>
        <sz val="10"/>
        <color rgb="FF000000"/>
        <rFont val="Arial Narrow"/>
        <family val="2"/>
      </rPr>
      <t xml:space="preserve">Sonda de trato urinário, modelo: Foley, tamanho: N°10, 02 </t>
    </r>
    <r>
      <rPr>
        <sz val="10"/>
        <color rgb="FF000000"/>
        <rFont val="Arial Narrow"/>
        <family val="2"/>
      </rPr>
      <t>vias, com balão 30cc</t>
    </r>
    <r>
      <rPr>
        <b/>
        <sz val="10"/>
        <color rgb="FF000000"/>
        <rFont val="Arial Narrow"/>
        <family val="2"/>
      </rPr>
      <t>,</t>
    </r>
    <r>
      <rPr>
        <sz val="10"/>
        <color rgb="FF000000"/>
        <rFont val="Arial Narrow"/>
        <family val="2"/>
      </rPr>
      <t xml:space="preserve">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</si>
  <si>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 xml:space="preserve">Sonda de trato urinário - </t>
    </r>
    <r>
      <rPr>
        <sz val="10"/>
        <color rgb="FF000000"/>
        <rFont val="Arial Narrow"/>
        <family val="2"/>
      </rPr>
      <t>modelo: Foley, tamanho: N°12,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</si>
  <si>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 xml:space="preserve">Sonda de trato urinário - </t>
    </r>
    <r>
      <rPr>
        <sz val="10"/>
        <color rgb="FF000000"/>
        <rFont val="Arial Narrow"/>
        <family val="2"/>
      </rPr>
      <t>modelo: Foley, tamanho: N°14,</t>
    </r>
    <r>
      <rPr>
        <b/>
        <sz val="10"/>
        <color rgb="FF000000"/>
        <rFont val="Arial Narrow"/>
        <family val="2"/>
      </rPr>
      <t xml:space="preserve"> </t>
    </r>
    <r>
      <rPr>
        <sz val="10"/>
        <color rgb="FF000000"/>
        <rFont val="Arial Narrow"/>
        <family val="2"/>
      </rPr>
      <t>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</si>
  <si>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N°16,</t>
    </r>
    <r>
      <rPr>
        <b/>
        <sz val="10"/>
        <color rgb="FF000000"/>
        <rFont val="Arial Narrow"/>
        <family val="2"/>
      </rPr>
      <t xml:space="preserve"> </t>
    </r>
    <r>
      <rPr>
        <sz val="10"/>
        <color rgb="FF000000"/>
        <rFont val="Arial Narrow"/>
        <family val="2"/>
      </rPr>
      <t>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</si>
  <si>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N°18</t>
    </r>
    <r>
      <rPr>
        <b/>
        <sz val="10"/>
        <color rgb="FF000000"/>
        <rFont val="Arial Narrow"/>
        <family val="2"/>
      </rPr>
      <t>,</t>
    </r>
    <r>
      <rPr>
        <sz val="10"/>
        <color rgb="FF000000"/>
        <rFont val="Arial Narrow"/>
        <family val="2"/>
      </rPr>
      <t xml:space="preserve">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</si>
  <si>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N°20,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</si>
  <si>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N°22,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</si>
  <si>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de trato urinário -</t>
    </r>
    <r>
      <rPr>
        <sz val="10"/>
        <color rgb="FF000000"/>
        <rFont val="Arial Narrow"/>
        <family val="2"/>
      </rPr>
      <t xml:space="preserve"> modelo: Foley, tamanho: N°24,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</si>
  <si>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 xml:space="preserve">Sonda de trato urinário - </t>
    </r>
    <r>
      <rPr>
        <sz val="10"/>
        <color rgb="FF000000"/>
        <rFont val="Arial Narrow"/>
        <family val="2"/>
      </rPr>
      <t>modelo: uretral, tamanho: Nº 04,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</si>
  <si>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06,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</si>
  <si>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08,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</si>
  <si>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 xml:space="preserve">Sonda de trato urinário - </t>
    </r>
    <r>
      <rPr>
        <sz val="10"/>
        <color rgb="FF000000"/>
        <rFont val="Arial Narrow"/>
        <family val="2"/>
      </rPr>
      <t>modelo: uretral, tamanho: Nº 10,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</si>
  <si>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12,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</si>
  <si>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14,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</si>
  <si>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16,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</si>
  <si>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trato urinário -</t>
    </r>
    <r>
      <rPr>
        <sz val="10"/>
        <color rgb="FF000000"/>
        <rFont val="Arial Narrow"/>
        <family val="2"/>
      </rPr>
      <t xml:space="preserve"> modelo: uretral, tamanho: Nº 18,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</si>
  <si>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 xml:space="preserve">Sonda de trato urinário - </t>
    </r>
    <r>
      <rPr>
        <sz val="10"/>
        <color rgb="FF000000"/>
        <rFont val="Arial Narrow"/>
        <family val="2"/>
      </rPr>
      <t>modelo: uretral, tamanho: Nº 20,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t>
    </r>
  </si>
  <si>
    <r>
      <rPr>
        <b/>
        <sz val="10"/>
        <color rgb="FF000000"/>
        <rFont val="Arial Narrow"/>
        <family val="2"/>
      </rPr>
      <t>Sonda de aspiração traqueal -</t>
    </r>
    <r>
      <rPr>
        <sz val="10"/>
        <color rgb="FF000000"/>
        <rFont val="Arial Narrow"/>
        <family val="2"/>
      </rPr>
      <t xml:space="preserve"> tamanho: Nº 04,</t>
    </r>
    <r>
      <rPr>
        <b/>
        <sz val="10"/>
        <color rgb="FF000000"/>
        <rFont val="Arial Narrow"/>
        <family val="2"/>
      </rPr>
      <t xml:space="preserve"> </t>
    </r>
    <r>
      <rPr>
        <sz val="10"/>
        <color rgb="FF000000"/>
        <rFont val="Arial Narrow"/>
        <family val="2"/>
      </rPr>
      <t>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</si>
  <si>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 xml:space="preserve">Sonda de aspiração traqueal - </t>
    </r>
    <r>
      <rPr>
        <sz val="10"/>
        <color rgb="FF000000"/>
        <rFont val="Arial Narrow"/>
        <family val="2"/>
      </rPr>
      <t>tamanho: Nº 06,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</si>
  <si>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Sonda de aspiração traqueal -</t>
    </r>
    <r>
      <rPr>
        <sz val="10"/>
        <color rgb="FF000000"/>
        <rFont val="Arial Narrow"/>
        <family val="2"/>
      </rPr>
      <t xml:space="preserve"> tamanho: Nº 08,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</si>
  <si>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Sonda de aspiração traqueal -</t>
    </r>
    <r>
      <rPr>
        <sz val="10"/>
        <color rgb="FF000000"/>
        <rFont val="Arial Narrow"/>
        <family val="2"/>
      </rPr>
      <t xml:space="preserve"> tamanho: Nº 10,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</si>
  <si>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 xml:space="preserve">Sonda de aspiração traqueal - </t>
    </r>
    <r>
      <rPr>
        <sz val="10"/>
        <color rgb="FF000000"/>
        <rFont val="Arial Narrow"/>
        <family val="2"/>
      </rPr>
      <t>tamanho: Nº 12,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</si>
  <si>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 xml:space="preserve">Sonda de aspiração traqueal - </t>
    </r>
    <r>
      <rPr>
        <sz val="10"/>
        <color rgb="FF000000"/>
        <rFont val="Arial Narrow"/>
        <family val="2"/>
      </rPr>
      <t>tamanho: Nº 14,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</si>
  <si>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Sonda de aspiração traqueal -</t>
    </r>
    <r>
      <rPr>
        <sz val="10"/>
        <color rgb="FF000000"/>
        <rFont val="Arial Narrow"/>
        <family val="2"/>
      </rPr>
      <t xml:space="preserve"> tamanho: Nº 16</t>
    </r>
    <r>
      <rPr>
        <b/>
        <sz val="10"/>
        <color rgb="FF000000"/>
        <rFont val="Arial Narrow"/>
        <family val="2"/>
      </rPr>
      <t>,</t>
    </r>
    <r>
      <rPr>
        <sz val="10"/>
        <color rgb="FF000000"/>
        <rFont val="Arial Narrow"/>
        <family val="2"/>
      </rPr>
      <t xml:space="preserve">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t>
    </r>
  </si>
  <si>
    <r>
      <rPr>
        <b/>
        <sz val="10"/>
        <color rgb="FF000000"/>
        <rFont val="Arial Narrow"/>
        <family val="2"/>
      </rPr>
      <t>Sonda de aspiração traqueal -</t>
    </r>
    <r>
      <rPr>
        <sz val="10"/>
        <color rgb="FF000000"/>
        <rFont val="Arial Narrow"/>
        <family val="2"/>
      </rPr>
      <t xml:space="preserve"> tamanho: Nº 18,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
</t>
    </r>
  </si>
  <si>
    <r>
      <rPr>
        <b/>
        <sz val="10"/>
        <color rgb="FF000000"/>
        <rFont val="Arial Narrow"/>
        <family val="2"/>
      </rPr>
      <t>Sonda nasogástrica curta -</t>
    </r>
    <r>
      <rPr>
        <sz val="10"/>
        <color rgb="FF000000"/>
        <rFont val="Arial Narrow"/>
        <family val="2"/>
      </rPr>
      <t xml:space="preserve"> tamanho: Nº 04,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</si>
  <si>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Sonda nasogástrica curta -</t>
    </r>
    <r>
      <rPr>
        <sz val="10"/>
        <color rgb="FF000000"/>
        <rFont val="Arial Narrow"/>
        <family val="2"/>
      </rPr>
      <t xml:space="preserve"> tamanho: Nº 06</t>
    </r>
    <r>
      <rPr>
        <b/>
        <sz val="10"/>
        <color rgb="FF000000"/>
        <rFont val="Arial Narrow"/>
        <family val="2"/>
      </rPr>
      <t>,</t>
    </r>
    <r>
      <rPr>
        <sz val="10"/>
        <color rgb="FF000000"/>
        <rFont val="Arial Narrow"/>
        <family val="2"/>
      </rPr>
      <t xml:space="preserve">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</si>
  <si>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curta - </t>
    </r>
    <r>
      <rPr>
        <sz val="10"/>
        <color rgb="FF000000"/>
        <rFont val="Arial Narrow"/>
        <family val="2"/>
      </rPr>
      <t>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</si>
  <si>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</si>
  <si>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curta - </t>
    </r>
    <r>
      <rPr>
        <sz val="10"/>
        <color rgb="FF000000"/>
        <rFont val="Arial Narrow"/>
        <family val="2"/>
      </rPr>
      <t>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</si>
  <si>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Sonda nasogástrica longa -</t>
    </r>
    <r>
      <rPr>
        <sz val="10"/>
        <color rgb="FF000000"/>
        <rFont val="Arial Narrow"/>
        <family val="2"/>
      </rPr>
      <t xml:space="preserve"> 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</si>
  <si>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Sonda nasogástrica longa -</t>
    </r>
    <r>
      <rPr>
        <sz val="10"/>
        <color rgb="FF000000"/>
        <rFont val="Arial Narrow"/>
        <family val="2"/>
      </rPr>
      <t xml:space="preserve">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</si>
  <si>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</si>
  <si>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</si>
  <si>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</si>
  <si>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20,</t>
    </r>
    <r>
      <rPr>
        <b/>
        <sz val="10"/>
        <color rgb="FF000000"/>
        <rFont val="Arial Narrow"/>
        <family val="2"/>
      </rPr>
      <t xml:space="preserve"> </t>
    </r>
    <r>
      <rPr>
        <sz val="10"/>
        <color rgb="FF000000"/>
        <rFont val="Arial Narrow"/>
        <family val="2"/>
      </rPr>
      <t>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</si>
  <si>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 xml:space="preserve">Sonda nasogástrica longa - </t>
    </r>
    <r>
      <rPr>
        <sz val="10"/>
        <color rgb="FF000000"/>
        <rFont val="Arial Narrow"/>
        <family val="2"/>
      </rPr>
      <t>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</si>
  <si>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r>
      <rPr>
        <b/>
        <sz val="10"/>
        <color rgb="FF000000"/>
        <rFont val="Arial Narrow"/>
        <family val="2"/>
      </rPr>
      <t>Sonda para alimentação enteral (nesoenteral) -</t>
    </r>
    <r>
      <rPr>
        <sz val="10"/>
        <color rgb="FF000000"/>
        <rFont val="Arial Narrow"/>
        <family val="2"/>
      </rPr>
      <t xml:space="preserve"> calibre: 12G, material: poliuretano, caracterísiticas adicionais: com guia, bio-compatível, macia e flexível, radiopaca, com marcas de medida em toda a sua extensão, duas aberturas opostas na ogiva, mandril flexível em aço inoxidável, conexão universal estéril. Embalagem individual em papel grau cirúrgico e/ou filme termoplástico, com abertura em pétala, com dados de identificação e procedência, data e tipo de esterilização, prazo de validade e registro em órgão competente</t>
    </r>
  </si>
  <si>
    <r>
      <rPr>
        <b/>
        <sz val="10"/>
        <color rgb="FF000000"/>
        <rFont val="Arial Narrow"/>
        <family val="2"/>
      </rPr>
      <t>Saco de polietileno transparente -</t>
    </r>
    <r>
      <rPr>
        <sz val="10"/>
        <color rgb="FF000000"/>
        <rFont val="Arial Narrow"/>
        <family val="2"/>
      </rPr>
      <t xml:space="preserve"> STAND-UP (fica em pé), estéril ( certificado), descartável, aprovado pela USEPA e standard methods. Utilizado para coleta de amostras de água. Cada saco contém 1 comprimido de 10mg de tiosulfato de sódio. Volume do saco 100mL, medidas aproximadas: 25x17cm. Prazo de validade 60 meses contados da data de fabricação. A temperatura de armazenamento recomendada é entre 10 e 25oC..Embalagem plástica individual, constando os dados de identificação, procedência e rastreabilidade.</t>
    </r>
  </si>
  <si>
    <r>
      <rPr>
        <b/>
        <sz val="10"/>
        <color theme="1"/>
        <rFont val="Arial Narrow"/>
        <family val="2"/>
      </rPr>
      <t>Sonda trato urinário -</t>
    </r>
    <r>
      <rPr>
        <sz val="10"/>
        <color theme="1"/>
        <rFont val="Arial Narrow"/>
        <family val="2"/>
      </rPr>
      <t xml:space="preserve"> modelo: Foley, calibre: Nº 22,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</si>
  <si>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Sonda trato urinário -</t>
    </r>
    <r>
      <rPr>
        <sz val="10"/>
        <color rgb="FF000000"/>
        <rFont val="Arial Narrow"/>
        <family val="2"/>
      </rPr>
      <t xml:space="preserve"> modelo: Foley, calibre: Nº 20,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t>
    </r>
  </si>
  <si>
    <r>
      <rPr>
        <b/>
        <sz val="10"/>
        <color theme="1"/>
        <rFont val="Arial Narrow"/>
        <family val="2"/>
      </rPr>
      <t>Sonda trato urinário -</t>
    </r>
    <r>
      <rPr>
        <sz val="10"/>
        <color theme="1"/>
        <rFont val="Arial Narrow"/>
        <family val="2"/>
      </rPr>
      <t xml:space="preserve"> modelo: Foley, calibre: Nº 18,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t>
    </r>
  </si>
  <si>
    <r>
      <rPr>
        <b/>
        <sz val="10"/>
        <color theme="1"/>
        <rFont val="Arial Narrow"/>
        <family val="2"/>
      </rPr>
      <t xml:space="preserve">Sonda trato urinário - </t>
    </r>
    <r>
      <rPr>
        <sz val="10"/>
        <color theme="1"/>
        <rFont val="Arial Narrow"/>
        <family val="2"/>
      </rPr>
      <t>modelo: Foley, calibre: Nº 16,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t>
    </r>
  </si>
  <si>
    <r>
      <rPr>
        <b/>
        <sz val="10"/>
        <color rgb="FF000000"/>
        <rFont val="Arial Narrow"/>
        <family val="2"/>
      </rPr>
      <t>Touca hospitalar -</t>
    </r>
    <r>
      <rPr>
        <sz val="10"/>
        <color rgb="FF000000"/>
        <rFont val="Arial Narrow"/>
        <family val="2"/>
      </rPr>
      <t xml:space="preserve"> tipo uso: descartável, material: não tecido 100% polipropileno, tamanho: único, gramatura: cerca de 30 G/M2, características adicionais: micro perfurada, atóxica, inodora, unissex, hipoalergênica, com elástico em toda sua extensão. Embalagem contendo externamente dados de identificação e procedência.</t>
    </r>
  </si>
  <si>
    <t xml:space="preserve">471566	</t>
  </si>
  <si>
    <r>
      <rPr>
        <b/>
        <sz val="10"/>
        <color rgb="FF000000"/>
        <rFont val="Arial Narrow"/>
        <family val="2"/>
      </rPr>
      <t>Torneira, tipo: 3 vias -</t>
    </r>
    <r>
      <rPr>
        <sz val="10"/>
        <color rgb="FF000000"/>
        <rFont val="Arial Narrow"/>
        <family val="2"/>
      </rPr>
      <t xml:space="preserve"> uso: descartável, tipo conectores: luer lock universal, com conexão rotativa,</t>
    </r>
    <r>
      <rPr>
        <sz val="10"/>
        <color rgb="FFFF0000"/>
        <rFont val="Arial Narrow"/>
        <family val="2"/>
      </rPr>
      <t xml:space="preserve"> </t>
    </r>
    <r>
      <rPr>
        <sz val="10"/>
        <color rgb="FF000000"/>
        <rFont val="Arial Narrow"/>
        <family val="2"/>
      </rPr>
      <t>estrutura transparente, com tampa e orientador de fluxo direcionado, estéril. Embalagem individual de papel grau cirúrgico e/ou filme termoplástico, constando dados de identificação e procedência, data e tipo de esterilização, prazo de validade e registro em órgão competente.</t>
    </r>
  </si>
  <si>
    <r>
      <rPr>
        <b/>
        <sz val="10"/>
        <rFont val="Arial Narrow"/>
        <family val="2"/>
      </rPr>
      <t>Tubo hospitalar -</t>
    </r>
    <r>
      <rPr>
        <sz val="10"/>
        <rFont val="Arial Narrow"/>
        <family val="2"/>
      </rPr>
      <t xml:space="preserve"> material: silicone, tamanho: Nº 204, apresentação: rolo com 15 metros, características adicionais: para aspiração, atóxico, flexível, transparente, descartável com diâmetro interno e espessura de parede uniformes, estéril. Embalagem individual, contendo externamente dados de identificação e procedência, data e tipo de esterilização, prazo de validade e registro em órgão competente. </t>
    </r>
  </si>
  <si>
    <r>
      <rPr>
        <b/>
        <sz val="10"/>
        <color rgb="FF000000"/>
        <rFont val="Arial Narrow"/>
        <family val="2"/>
      </rPr>
      <t>Tubo hospitalar -</t>
    </r>
    <r>
      <rPr>
        <sz val="10"/>
        <color rgb="FF000000"/>
        <rFont val="Arial Narrow"/>
        <family val="2"/>
      </rPr>
      <t xml:space="preserve"> material: borracha de látex natural, tamanho: Nº 200, dimensões: diâmetro externo 5,5 mm e interno de 3,0 mm, apresentação: rolo com 15 metros, características adicionais: alta resistência a temperatura,apresentação em tubos, na cor amarela. Embalagem contendo externamente dados de identificação e procedência, data de fabricação e registro em órgão competente. </t>
    </r>
  </si>
  <si>
    <r>
      <rPr>
        <b/>
        <sz val="10"/>
        <color rgb="FF000000"/>
        <rFont val="Arial Narrow"/>
        <family val="2"/>
      </rPr>
      <t xml:space="preserve">Termômetro clínico - </t>
    </r>
    <r>
      <rPr>
        <sz val="10"/>
        <color rgb="FF000000"/>
        <rFont val="Arial Narrow"/>
        <family val="2"/>
      </rPr>
      <t>tipo: digital, tipo uso: axilar e oral, características adicionais: uniforme e fácil leitura. Embalagem protetora individual contendo externamente dados de identificação e procedência, lote e registro em órgão competente.</t>
    </r>
  </si>
  <si>
    <r>
      <rPr>
        <b/>
        <sz val="10"/>
        <color rgb="FF000000"/>
        <rFont val="Arial Narrow"/>
        <family val="2"/>
      </rPr>
      <t>Tala de imobilização -</t>
    </r>
    <r>
      <rPr>
        <sz val="10"/>
        <color rgb="FF000000"/>
        <rFont val="Arial Narrow"/>
        <family val="2"/>
      </rPr>
      <t xml:space="preserve"> tamanho: PP, dimensões: 30 x 8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t>
    </r>
  </si>
  <si>
    <r>
      <rPr>
        <b/>
        <sz val="10"/>
        <color rgb="FF000000"/>
        <rFont val="Arial Narrow"/>
        <family val="2"/>
      </rPr>
      <t xml:space="preserve">Tala de imobilização - </t>
    </r>
    <r>
      <rPr>
        <sz val="10"/>
        <color rgb="FF000000"/>
        <rFont val="Arial Narrow"/>
        <family val="2"/>
      </rPr>
      <t>tamanho: G, dimensões: 86 x 10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t>
    </r>
  </si>
  <si>
    <r>
      <rPr>
        <b/>
        <sz val="10"/>
        <color rgb="FF000000"/>
        <rFont val="Arial Narrow"/>
        <family val="2"/>
      </rPr>
      <t>Tesoura instrumental -</t>
    </r>
    <r>
      <rPr>
        <sz val="10"/>
        <color rgb="FF000000"/>
        <rFont val="Arial Narrow"/>
        <family val="2"/>
      </rPr>
      <t xml:space="preserve"> tipo: ortopédica, </t>
    </r>
    <r>
      <rPr>
        <sz val="10"/>
        <rFont val="Arial Narrow"/>
        <family val="2"/>
      </rPr>
      <t>modelo: Lister</t>
    </r>
    <r>
      <rPr>
        <sz val="10"/>
        <color rgb="FF000000"/>
        <rFont val="Arial Narrow"/>
        <family val="2"/>
      </rPr>
      <t>, tamanho: 19 cm, material: aço inoxidável, esterilidade: esterilizável,</t>
    </r>
    <r>
      <rPr>
        <sz val="10"/>
        <color rgb="FFFF0000"/>
        <rFont val="Arial Narrow"/>
        <family val="2"/>
      </rPr>
      <t xml:space="preserve">  </t>
    </r>
    <r>
      <rPr>
        <sz val="10"/>
        <color theme="1"/>
        <rFont val="Arial Narrow"/>
        <family val="2"/>
      </rPr>
      <t xml:space="preserve">embalagem primária contendo identificação, número do lote, mês, ano de fabricação e validade, e registro em órgão competente. </t>
    </r>
  </si>
  <si>
    <r>
      <rPr>
        <b/>
        <sz val="10"/>
        <color theme="1"/>
        <rFont val="Arial Narrow"/>
        <family val="2"/>
      </rPr>
      <t xml:space="preserve">Tesoura instrumental - </t>
    </r>
    <r>
      <rPr>
        <sz val="10"/>
        <color theme="1"/>
        <rFont val="Arial Narrow"/>
        <family val="2"/>
      </rPr>
      <t>modelo: Spencer, comprimento: cerca de 10 cm, tipo ponta</t>
    </r>
    <r>
      <rPr>
        <sz val="10"/>
        <color rgb="FFFF0000"/>
        <rFont val="Arial Narrow"/>
        <family val="2"/>
      </rPr>
      <t xml:space="preserve">: </t>
    </r>
    <r>
      <rPr>
        <sz val="10"/>
        <rFont val="Arial Narrow"/>
        <family val="2"/>
      </rPr>
      <t>reta</t>
    </r>
    <r>
      <rPr>
        <b/>
        <sz val="10"/>
        <rFont val="Arial Narrow"/>
        <family val="2"/>
      </rPr>
      <t>,</t>
    </r>
    <r>
      <rPr>
        <sz val="10"/>
        <color rgb="FFFF0000"/>
        <rFont val="Arial Narrow"/>
        <family val="2"/>
      </rPr>
      <t xml:space="preserve"> </t>
    </r>
    <r>
      <rPr>
        <sz val="10"/>
        <color theme="1"/>
        <rFont val="Arial Narrow"/>
        <family val="2"/>
      </rPr>
      <t>material: aço inoxidável, esterilidade: esterilizável, uso: para retirar pontos, características adicionais: embalagem plástica individual, constando os dados de identificação, procedência, rastreabilidade e registro em órgão competente.</t>
    </r>
  </si>
  <si>
    <r>
      <rPr>
        <b/>
        <sz val="10"/>
        <color theme="1"/>
        <rFont val="Arial Narrow"/>
        <family val="2"/>
      </rPr>
      <t>Tesoura instrumental -</t>
    </r>
    <r>
      <rPr>
        <sz val="10"/>
        <color theme="1"/>
        <rFont val="Arial Narrow"/>
        <family val="2"/>
      </rPr>
      <t xml:space="preserve"> modelo: Spencer, tamanho: 12 cm, tipo ponta</t>
    </r>
    <r>
      <rPr>
        <sz val="10"/>
        <rFont val="Arial Narrow"/>
        <family val="2"/>
      </rPr>
      <t>: reta,</t>
    </r>
    <r>
      <rPr>
        <b/>
        <sz val="10"/>
        <color rgb="FFFF0000"/>
        <rFont val="Arial Narrow"/>
        <family val="2"/>
      </rPr>
      <t xml:space="preserve"> </t>
    </r>
    <r>
      <rPr>
        <sz val="10"/>
        <color theme="1"/>
        <rFont val="Arial Narrow"/>
        <family val="2"/>
      </rPr>
      <t>material: aço inoxidável, esterilidade: esterilizável, uso: para retirar pontos, características adicionais: embalagem plástica individual, constando os dados de identificação, procedência, rastreabilidade e registro em órgão competente.</t>
    </r>
  </si>
  <si>
    <r>
      <rPr>
        <b/>
        <sz val="10"/>
        <color theme="1"/>
        <rFont val="Arial Narrow"/>
        <family val="2"/>
      </rPr>
      <t xml:space="preserve">Tesoura instrumental - </t>
    </r>
    <r>
      <rPr>
        <sz val="10"/>
        <color theme="1"/>
        <rFont val="Arial Narrow"/>
        <family val="2"/>
      </rPr>
      <t>modelo: Spencer, tamanho: 14 cm, tipo ponta</t>
    </r>
    <r>
      <rPr>
        <b/>
        <sz val="10"/>
        <color theme="1"/>
        <rFont val="Arial Narrow"/>
        <family val="2"/>
      </rPr>
      <t>:</t>
    </r>
    <r>
      <rPr>
        <b/>
        <sz val="10"/>
        <color rgb="FFFF0000"/>
        <rFont val="Arial Narrow"/>
        <family val="2"/>
      </rPr>
      <t xml:space="preserve"> </t>
    </r>
    <r>
      <rPr>
        <sz val="10"/>
        <rFont val="Arial Narrow"/>
        <family val="2"/>
      </rPr>
      <t>reta,</t>
    </r>
    <r>
      <rPr>
        <b/>
        <sz val="10"/>
        <color theme="1"/>
        <rFont val="Arial Narrow"/>
        <family val="2"/>
      </rPr>
      <t xml:space="preserve"> </t>
    </r>
    <r>
      <rPr>
        <sz val="10"/>
        <color theme="1"/>
        <rFont val="Arial Narrow"/>
        <family val="2"/>
      </rPr>
      <t>material: aço inoxidável, esterilidade: esterilizável, uso: para retirar pontos, características adicionais: embalagem plástica individual, constando os dados de identificação, procedência, rastreabilidade e registro em órgão competente.</t>
    </r>
  </si>
  <si>
    <r>
      <rPr>
        <b/>
        <sz val="10"/>
        <color rgb="FF000000"/>
        <rFont val="Arial Narrow"/>
        <family val="2"/>
      </rPr>
      <t xml:space="preserve">Tesoura instrumental - </t>
    </r>
    <r>
      <rPr>
        <sz val="10"/>
        <color rgb="FF000000"/>
        <rFont val="Arial Narrow"/>
        <family val="2"/>
      </rPr>
      <t>modelo: Mayo, tamanho: 15 cm, tipo ponta: reta, romba fina,</t>
    </r>
    <r>
      <rPr>
        <b/>
        <sz val="10"/>
        <color rgb="FF000000"/>
        <rFont val="Arial Narrow"/>
        <family val="2"/>
      </rPr>
      <t xml:space="preserve"> </t>
    </r>
    <r>
      <rPr>
        <sz val="10"/>
        <color rgb="FF000000"/>
        <rFont val="Arial Narrow"/>
        <family val="2"/>
      </rPr>
      <t>material: aço inoxidável AISI-420, esterilidade: esterilizável, uso: para retirar pontos, características adicionais: embalagem plástica individual, constando os dados de identificação, procedência, rastreabilidade e registro em órgão competente.</t>
    </r>
  </si>
  <si>
    <r>
      <rPr>
        <b/>
        <sz val="10"/>
        <color rgb="FF000000"/>
        <rFont val="Arial Narrow"/>
        <family val="2"/>
      </rPr>
      <t xml:space="preserve">Tesoura instrumental - </t>
    </r>
    <r>
      <rPr>
        <sz val="10"/>
        <color rgb="FF000000"/>
        <rFont val="Arial Narrow"/>
        <family val="2"/>
      </rPr>
      <t>modelo: Mayo, tamanho: 18 cm, tipo ponta: reta, romba fina, material: aço inoxidável AISI-420, esterilidade: esterilizável, uso: para retirar pontos, características adicionais: embalagem plástica individual, constando os dados de identificação, procedência, rastreabilidade e registro em órgão competente.</t>
    </r>
  </si>
  <si>
    <r>
      <rPr>
        <b/>
        <sz val="10"/>
        <color rgb="FF000000"/>
        <rFont val="Arial Narrow"/>
        <family val="2"/>
      </rPr>
      <t xml:space="preserve">Tesoura instrumental - </t>
    </r>
    <r>
      <rPr>
        <sz val="10"/>
        <color rgb="FF000000"/>
        <rFont val="Arial Narrow"/>
        <family val="2"/>
      </rPr>
      <t>modelo: Metzembaum, tamanho: 15 cm, tipo ponta: reta,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</si>
  <si>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 xml:space="preserve">Tesoura instrumental - </t>
    </r>
    <r>
      <rPr>
        <sz val="10"/>
        <color rgb="FF000000"/>
        <rFont val="Arial Narrow"/>
        <family val="2"/>
      </rPr>
      <t>modelo: Metzembaum, tamanho: 20 cm, tipo ponta: reta,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</si>
  <si>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Tesoura instrumental -</t>
    </r>
    <r>
      <rPr>
        <sz val="10"/>
        <color rgb="FF000000"/>
        <rFont val="Arial Narrow"/>
        <family val="2"/>
      </rPr>
      <t xml:space="preserve"> modelo: Íris, tamanho: 12 cm, tipo ponta:</t>
    </r>
    <r>
      <rPr>
        <sz val="10"/>
        <color theme="1"/>
        <rFont val="Arial Narrow"/>
        <family val="2"/>
      </rPr>
      <t xml:space="preserve"> romba reta</t>
    </r>
    <r>
      <rPr>
        <sz val="10"/>
        <color rgb="FF000000"/>
        <rFont val="Arial Narrow"/>
        <family val="2"/>
      </rPr>
      <t>, material: aço inoxidável, esterilidade: esterilizável, características adicionais: embalagem plástica individual, constando os dados de identificação, procedência, rastreabilidade e registro em órgão competente.</t>
    </r>
  </si>
  <si>
    <r>
      <rPr>
        <b/>
        <sz val="10"/>
        <rFont val="Arial Narrow"/>
        <family val="2"/>
      </rPr>
      <t>Tesoura instrumental -</t>
    </r>
    <r>
      <rPr>
        <sz val="10"/>
        <rFont val="Arial Narrow"/>
        <family val="2"/>
      </rPr>
      <t xml:space="preserve"> modelo: Mayo, tamanho: 15 cm, tipo ponta: curva, romba-fina, material: aço inoxidável AISI-420, esterilidade: esterilizável, características adicionais: embalagem plástica individual, constando os dados de identificação, procedência, rastreabilidade e registro em órgão competente.</t>
    </r>
  </si>
  <si>
    <r>
      <rPr>
        <b/>
        <sz val="10"/>
        <color rgb="FF000000"/>
        <rFont val="Arial Narrow"/>
        <family val="2"/>
      </rPr>
      <t>Tubo para centrifugação -</t>
    </r>
    <r>
      <rPr>
        <sz val="10"/>
        <color rgb="FF000000"/>
        <rFont val="Arial Narrow"/>
        <family val="2"/>
      </rPr>
      <t xml:space="preserve"> tipo Eppendorf - 0,5ML. Indicador químico interno, do tipo integrador em conformidade com ISSO 11140-1, que possibilita a monitorização das condições de esterilização às misturas de gás óxido de etileno, no interior das embalagens.</t>
    </r>
  </si>
  <si>
    <r>
      <rPr>
        <b/>
        <sz val="10"/>
        <color theme="1"/>
        <rFont val="Arial Narrow"/>
        <family val="2"/>
      </rPr>
      <t>Tubo endotraqueal -</t>
    </r>
    <r>
      <rPr>
        <sz val="10"/>
        <color theme="1"/>
        <rFont val="Arial Narrow"/>
        <family val="2"/>
      </rPr>
      <t xml:space="preserve"> tamanho: neonatal, calibre: Nº 2,5, material: tubo PVC transparente e estrutura interna reforçada por um fio de aço inoxidável, conector: 2,5 mm, com balão, esterilidade: estéril, uso único, características adicionais: com registro em órgão competente.</t>
    </r>
  </si>
  <si>
    <r>
      <rPr>
        <b/>
        <sz val="10"/>
        <color theme="1"/>
        <rFont val="Arial Narrow"/>
        <family val="2"/>
      </rPr>
      <t>Tubo endotraqueal -</t>
    </r>
    <r>
      <rPr>
        <sz val="10"/>
        <color theme="1"/>
        <rFont val="Arial Narrow"/>
        <family val="2"/>
      </rPr>
      <t xml:space="preserve"> calibre: Nº 3,0, material: tubo PVC transparente e estrutura interna reforçada por um fio de aço inoxidável, conector: 3,0 mm, com balão, esterilidade: estéril, uso único, características adicionais: com registro em órgão competente.</t>
    </r>
  </si>
  <si>
    <r>
      <rPr>
        <b/>
        <sz val="10"/>
        <color theme="1"/>
        <rFont val="Arial Narrow"/>
        <family val="2"/>
      </rPr>
      <t xml:space="preserve">Tubo endotraqueal - </t>
    </r>
    <r>
      <rPr>
        <sz val="10"/>
        <color theme="1"/>
        <rFont val="Arial Narrow"/>
        <family val="2"/>
      </rPr>
      <t>calibre: Nº 3,5, material: tubo PVC transparente e estrutura interna reforçada por um fio de aço inoxidável, conector: 3,5 mm, com balão, esterilidade: estéril, uso único, características adicionais: com registro em órgão competente.</t>
    </r>
  </si>
  <si>
    <r>
      <rPr>
        <b/>
        <sz val="10"/>
        <color rgb="FF000000"/>
        <rFont val="Arial Narrow"/>
        <family val="2"/>
      </rPr>
      <t xml:space="preserve">Tubos de ensaio - </t>
    </r>
    <r>
      <rPr>
        <sz val="10"/>
        <color rgb="FF000000"/>
        <rFont val="Arial Narrow"/>
        <family val="2"/>
      </rPr>
      <t>material: vidro de borosilicato, dimensões: 12 x 75 mm, características adicionais: sem aro pirex, com tampas de pressão laboratório, cor transparente, embalagem plástica individual, constando os dados de identificação, procedência e rastreabilidade.</t>
    </r>
  </si>
  <si>
    <r>
      <rPr>
        <b/>
        <sz val="10"/>
        <color rgb="FF000000"/>
        <rFont val="Arial Narrow"/>
        <family val="2"/>
      </rPr>
      <t>Umidificador de oxigênio -</t>
    </r>
    <r>
      <rPr>
        <sz val="10"/>
        <color rgb="FF000000"/>
        <rFont val="Arial Narrow"/>
        <family val="2"/>
      </rPr>
      <t xml:space="preserve"> material: frasco em PVC atóxico ou similar, capacidade mínima: 250 ml, características adicionais: graduado, de forma a permitir uma fácil visualização, tampa de rosca e orifício para saída do oxigênio em plástico resistente ou material similar, de acordo com as normas da ABNT, borboleta de conexão confeccionada externamente em plástico ou similar, e internamente em metal, que proporcione um perfeito encaixe, com sistema de selagem, para evitar vazamentos. Embalagem contendo identificação, mês e ano de fabricação e validade, e registro em órgão competente. </t>
    </r>
  </si>
  <si>
    <r>
      <rPr>
        <b/>
        <sz val="10"/>
        <color theme="1"/>
        <rFont val="Arial Narrow"/>
        <family val="2"/>
      </rPr>
      <t xml:space="preserve">Urinol masculino - </t>
    </r>
    <r>
      <rPr>
        <sz val="10"/>
        <color theme="1"/>
        <rFont val="Arial Narrow"/>
        <family val="2"/>
      </rPr>
      <t xml:space="preserve">capacidade: 1000 ML, modelo: papagaio, material: inox, aplicação: coletor de urina para pessoas acamadas com dificuldades para locomoção. </t>
    </r>
  </si>
  <si>
    <r>
      <rPr>
        <b/>
        <sz val="10"/>
        <color theme="1"/>
        <rFont val="Arial Narrow"/>
        <family val="2"/>
      </rPr>
      <t xml:space="preserve">Urinol feminino - </t>
    </r>
    <r>
      <rPr>
        <sz val="10"/>
        <color theme="1"/>
        <rFont val="Arial Narrow"/>
        <family val="2"/>
      </rPr>
      <t>capacidade mínima: 3,5 L, modelo: comadre estilo pá, material: inox, aplicação: coletor de urina para pessoas acamadas com dificuldades para locomoção.</t>
    </r>
  </si>
  <si>
    <r>
      <rPr>
        <b/>
        <sz val="10"/>
        <color theme="1"/>
        <rFont val="Arial Narrow"/>
        <family val="2"/>
      </rPr>
      <t>Mini Incubadora</t>
    </r>
    <r>
      <rPr>
        <sz val="10"/>
        <color theme="1"/>
        <rFont val="Arial Narrow"/>
        <family val="2"/>
      </rPr>
      <t xml:space="preserve"> - a vapor, com capacidade de incubar 06 indicadores biológicos, voltagem de 220V.</t>
    </r>
  </si>
  <si>
    <r>
      <rPr>
        <b/>
        <sz val="10"/>
        <color theme="1"/>
        <rFont val="Arial Narrow"/>
        <family val="2"/>
      </rPr>
      <t>Indicador biológico</t>
    </r>
    <r>
      <rPr>
        <sz val="10"/>
        <color theme="1"/>
        <rFont val="Arial Narrow"/>
        <family val="2"/>
      </rPr>
      <t xml:space="preserve"> - para esterilização a vapor, automático, com leitura em 24 horas,</t>
    </r>
    <r>
      <rPr>
        <sz val="10"/>
        <color rgb="FFFF0000"/>
        <rFont val="Arial Narrow"/>
        <family val="2"/>
      </rPr>
      <t xml:space="preserve"> </t>
    </r>
    <r>
      <rPr>
        <sz val="10"/>
        <rFont val="Arial Narrow"/>
        <family val="2"/>
      </rPr>
      <t xml:space="preserve"> ampola de vidro lacrada e quebrável, contendo data de fabricação, validade, e número de lote. </t>
    </r>
  </si>
  <si>
    <r>
      <rPr>
        <b/>
        <sz val="10"/>
        <color theme="1"/>
        <rFont val="Arial Narrow"/>
        <family val="2"/>
      </rPr>
      <t>Cal sodada (absorvidor de co²) -</t>
    </r>
    <r>
      <rPr>
        <sz val="10"/>
        <color theme="1"/>
        <rFont val="Arial Narrow"/>
        <family val="2"/>
      </rPr>
      <t xml:space="preserve"> aspecto físico granulado, cor branca, uso anestesia.Embalagem com  no mínimo 4,5 kg, contendo registro no ministério da saúde. </t>
    </r>
  </si>
  <si>
    <r>
      <rPr>
        <b/>
        <sz val="10"/>
        <color theme="1"/>
        <rFont val="Arial Narrow"/>
        <family val="2"/>
      </rPr>
      <t xml:space="preserve">Teste Bowie-Dick - </t>
    </r>
    <r>
      <rPr>
        <sz val="10"/>
        <color theme="1"/>
        <rFont val="Arial Narrow"/>
        <family val="2"/>
      </rPr>
      <t xml:space="preserve">De uso diário, em temperatura de 134°C por 3,5 minutos, caixa em material impermeável. Contendo indicador químico externo de processo (tipo 1) com folhas em papel poroso.    Embalagem com 4 kg. </t>
    </r>
  </si>
  <si>
    <r>
      <rPr>
        <b/>
        <sz val="10"/>
        <color theme="1"/>
        <rFont val="Arial Narrow"/>
        <family val="2"/>
      </rPr>
      <t>Frasco Coleta de 100ml -</t>
    </r>
    <r>
      <rPr>
        <sz val="10"/>
        <color theme="1"/>
        <rFont val="Arial Narrow"/>
        <family val="2"/>
      </rPr>
      <t xml:space="preserve"> Fechamento hermético, estéril por radiação UV, comprimido conservante de tiossulfato de sódio (10mg), tampa e frasco livres de fluorescência, com invólucro de plástico; graduado; cor transparente. validade de no mínimo 1 (um) ano. 
</t>
    </r>
  </si>
  <si>
    <r>
      <rPr>
        <b/>
        <sz val="10"/>
        <color rgb="FF000000"/>
        <rFont val="Arial Narrow"/>
        <family val="2"/>
      </rPr>
      <t xml:space="preserve">Papel grau cirúrgico, 100mm x 100m - </t>
    </r>
    <r>
      <rPr>
        <sz val="10"/>
        <color rgb="FF000000"/>
        <rFont val="Arial Narrow"/>
        <family val="2"/>
      </rPr>
      <t>embalagem tubular para esterilização, embalagem tubular descartável termoselável para esterilização de material médico-hospitalar em autoclave a vapor ou óxido de etileno medindo 100mm x100 m em dupla face, sendo uma das faces em papel grau cirúrgico, isento de furos, rasgos, rugas, manchas, substâncias tóxicas, corantes, odores desagradáveis quando úmido ou seco, resistência ao calor em ambas as faces até 140ºC a embalagem deve apresentar número de lote impresso, número de registro na ANVISA, data de fabricação, validade, nome do fabricante.</t>
    </r>
  </si>
  <si>
    <r>
      <t xml:space="preserve">Seringa - </t>
    </r>
    <r>
      <rPr>
        <sz val="10"/>
        <color rgb="FF000000"/>
        <rFont val="Arial Narrow"/>
        <family val="2"/>
      </rPr>
      <t>capacidade: 3ML,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t>
    </r>
  </si>
  <si>
    <r>
      <rPr>
        <b/>
        <sz val="10"/>
        <color rgb="FF000000"/>
        <rFont val="Arial Narrow"/>
        <family val="2"/>
      </rPr>
      <t>Seringa -</t>
    </r>
    <r>
      <rPr>
        <sz val="10"/>
        <color rgb="FF000000"/>
        <rFont val="Arial Narrow"/>
        <family val="2"/>
      </rPr>
      <t xml:space="preserve"> capacidade: 5ML,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t>
    </r>
  </si>
  <si>
    <r>
      <rPr>
        <b/>
        <sz val="10"/>
        <color rgb="FF000000"/>
        <rFont val="Arial Narrow"/>
        <family val="2"/>
      </rPr>
      <t>Peróxido de hidrogênio, (água oxigenada),</t>
    </r>
    <r>
      <rPr>
        <sz val="10"/>
        <color rgb="FF000000"/>
        <rFont val="Arial Narrow"/>
        <family val="2"/>
      </rPr>
      <t xml:space="preserve"> tipo: 10 volumes, capacidade: frasco com 1 litro, uso: hospitalar, características adicionais: embalagem fosca, com dados de identificação e procedência, data de fabricação, tempo de validade e registro em órgão competente.</t>
    </r>
  </si>
  <si>
    <t>MATERIAL MEDICO HOSPITALAR</t>
  </si>
  <si>
    <r>
      <rPr>
        <b/>
        <sz val="10"/>
        <color theme="1"/>
        <rFont val="Arial Narrow"/>
        <family val="2"/>
      </rPr>
      <t>APARELHO DE PRESSÃO DIGITAL AUTOMÁTICO DE BRAÇO -</t>
    </r>
    <r>
      <rPr>
        <b/>
        <u/>
        <sz val="10"/>
        <color theme="1"/>
        <rFont val="Arial Narrow"/>
        <family val="2"/>
      </rPr>
      <t xml:space="preserve"> </t>
    </r>
    <r>
      <rPr>
        <sz val="10"/>
        <color theme="1"/>
        <rFont val="Arial Narrow"/>
        <family val="2"/>
      </rPr>
      <t>com 01 (uma) braçadeira tamanho universal para circunferência de braço de 23 a 43cm, display em LCD, indicador de categoria de pressão arterial, entrada para cabo USB 5V;1A, Botão liga/desliga, botão de configuração, entrada para conexão da braçadeira, funciona com pilha alcalina AAA. Garantia de 12 meses.</t>
    </r>
  </si>
  <si>
    <r>
      <t xml:space="preserve">BALANÇA DIGITAL - </t>
    </r>
    <r>
      <rPr>
        <sz val="10"/>
        <color theme="1"/>
        <rFont val="Arial Narrow"/>
        <family val="2"/>
      </rPr>
      <t>com plataforma de vidro temperado mínimo 6MM, visor digital com capacidade de peso de até 150 KG. Alimentação por bateria. Em conformidade com o INMETRO.</t>
    </r>
  </si>
  <si>
    <r>
      <t xml:space="preserve">OTOSCÓPIO </t>
    </r>
    <r>
      <rPr>
        <sz val="10"/>
        <color theme="1"/>
        <rFont val="Arial Narrow"/>
        <family val="2"/>
      </rPr>
      <t>– com cabo em material cromado inoxidável para duas pilhas comuns (inclusas), revestido por capa antiderrapante para melhor empunhadura, cabeçote com lâmpada, regulador de alta e baixa luminosidade, visor móvel, lâmpada incandescente de 2,5 v. garantia mínima de 12 (doze) meses. Com registro na ANVISA.</t>
    </r>
  </si>
  <si>
    <r>
      <t xml:space="preserve">SUPORTE DE PERFURO CORTANTE </t>
    </r>
    <r>
      <rPr>
        <sz val="10"/>
        <color theme="1"/>
        <rFont val="Arial Narrow"/>
        <family val="2"/>
      </rPr>
      <t>- suporte para depósito de papelão p/20 litros pintado suporte para descarte 20 (vinte) litros confeccionado em aço com pintura eletrostática, na cor branco, pode ser fixado em parede, acompanha 02 pares de escápulas e buchas. Para melhor uso manter o suporte fixado com no mínimo 1,20 m do chão ou podendo ser usado em bancada.</t>
    </r>
  </si>
  <si>
    <t>LE FARMA</t>
  </si>
  <si>
    <t>CIRÚRGICA LOGAN MED</t>
  </si>
  <si>
    <t>DROGAL</t>
  </si>
  <si>
    <t>DROGARIAS PACHECO</t>
  </si>
  <si>
    <t>GINO HOSPITALAR</t>
  </si>
  <si>
    <t>INSTRUMENTAL TÉCNICO</t>
  </si>
  <si>
    <t>MED BRANDS</t>
  </si>
  <si>
    <t>START DISTRIBUIDORA</t>
  </si>
  <si>
    <t>MEDICAL FARMA</t>
  </si>
  <si>
    <t>PAGUE MENOS</t>
  </si>
  <si>
    <t>DENTAL MED SUL</t>
  </si>
  <si>
    <t>LOJA MEDICAL</t>
  </si>
  <si>
    <t>CIRÚRGICA SINETE</t>
  </si>
  <si>
    <t>DROGA RAIA</t>
  </si>
  <si>
    <t>KAJA VET</t>
  </si>
  <si>
    <t>KAJAVET</t>
  </si>
  <si>
    <t>MEDICAL</t>
  </si>
  <si>
    <t>BONATI COMPANY</t>
  </si>
  <si>
    <t>BISTURI</t>
  </si>
  <si>
    <t>ESPAÇO SAÚDE</t>
  </si>
  <si>
    <t>UTILIDADES CLÍNICAS</t>
  </si>
  <si>
    <t>LOJA LABOR HS</t>
  </si>
  <si>
    <t>HELPSTAR LOJA</t>
  </si>
  <si>
    <t>SHOPPING PRO HOSPITAL</t>
  </si>
  <si>
    <t>SUTURAS ONLINE</t>
  </si>
  <si>
    <t xml:space="preserve">PAGUE MENOS </t>
  </si>
  <si>
    <t>MEDJET</t>
  </si>
  <si>
    <t>LOJA ENIFAR</t>
  </si>
  <si>
    <t>PANVEL</t>
  </si>
  <si>
    <t>FIBRA CIRÚRGICA</t>
  </si>
  <si>
    <t>MED CLEAN PRODUTOS HOSPITALARES</t>
  </si>
  <si>
    <t>RHOSSE</t>
  </si>
  <si>
    <t>MED SYSTEM</t>
  </si>
  <si>
    <t>GENERAL MED</t>
  </si>
  <si>
    <t>MEDIX BRASIL</t>
  </si>
  <si>
    <t>CIRÚRGICA SALUTAR</t>
  </si>
  <si>
    <t>HOSPITALAR DISTRIBUIDORA</t>
  </si>
  <si>
    <t>LOJA ECO SAÚDE</t>
  </si>
  <si>
    <t>SHOPPING PRO SAÚDE</t>
  </si>
  <si>
    <t>MANANCIAL MEDICAL</t>
  </si>
  <si>
    <t>HMC RESGATE</t>
  </si>
  <si>
    <t>TECHSUL MEDICAL</t>
  </si>
  <si>
    <t>CONSTAMED</t>
  </si>
  <si>
    <t>MED BIT</t>
  </si>
  <si>
    <t>NG2 MEDICAL</t>
  </si>
  <si>
    <t>HOSPITALAR BRASIL</t>
  </si>
  <si>
    <t>MULTILASER</t>
  </si>
  <si>
    <t>MAXI MED SUL</t>
  </si>
  <si>
    <t>ESSÊNCIA BRASILEIRA</t>
  </si>
  <si>
    <t>SURYA DENTAL</t>
  </si>
  <si>
    <t>DORMED</t>
  </si>
  <si>
    <t>DENTAL SPEED</t>
  </si>
  <si>
    <t>DISTRIMED PH</t>
  </si>
  <si>
    <t>MED SERV SP</t>
  </si>
  <si>
    <t>VIA MED CIRÚRGICA</t>
  </si>
  <si>
    <t>MEDICAL LAGE</t>
  </si>
  <si>
    <t>ESPECIFARMA</t>
  </si>
  <si>
    <t>PCR LABOR</t>
  </si>
  <si>
    <t>LOJA KOLPLAST</t>
  </si>
  <si>
    <t>CLIN RIO</t>
  </si>
  <si>
    <t>DENTAL CREMER</t>
  </si>
  <si>
    <t>DENTAL E CIA</t>
  </si>
  <si>
    <t>CIRÚRGICA LUCENA</t>
  </si>
  <si>
    <t>SUPREVIDA</t>
  </si>
  <si>
    <t>MAGAZINE MÉDICA</t>
  </si>
  <si>
    <t>CLINIFLEX</t>
  </si>
  <si>
    <t>CASA MÉDICA</t>
  </si>
  <si>
    <t>DORMED HOSPITALAR</t>
  </si>
  <si>
    <t>HOSPI CENTER</t>
  </si>
  <si>
    <t>ALTHIS</t>
  </si>
  <si>
    <t>CENTER COR HOSPITALAR</t>
  </si>
  <si>
    <t>MEDAXO</t>
  </si>
  <si>
    <t>SOU SUPER</t>
  </si>
  <si>
    <t>FONTE/
REFERÊNCIA
(COLUNA 2)</t>
  </si>
  <si>
    <t>CIRURGICA LOGAN MED</t>
  </si>
  <si>
    <t>CIRURGICA LUCENA</t>
  </si>
  <si>
    <t>TUDO PARA TATUAGEM</t>
  </si>
  <si>
    <t>PREFEITURA DE TORITAMA - PROCESSO FMS Nº 017/2023 - PREGÃO ELETRÔNICO SRPC Nº 019/2023 ARP 113/2023 - ITEM - 232</t>
  </si>
  <si>
    <t>PREFEITURA DE TORITAMA - PROCESSO FMS Nº 017/2023 - PREGÃO ELETRÔNICO SRPC Nº 019/2023 ARP 114/2023 - ITEM - 8</t>
  </si>
  <si>
    <t>PREFEITURA DE TORITAMA - PROCESSO FMS Nº 017/2023 - PREGÃO ELETRÔNICO SRPC Nº 019/2023 ARP 114/2023 - ITEM - 10</t>
  </si>
  <si>
    <t>PREFEITURA DE TORITAMA - PROCESSO FMS Nº 017/2023 - PREGÃO ELETRÔNICO SRPC Nº 019/2023 ARP 114/2023 - ITEM - 188</t>
  </si>
  <si>
    <t>PREFEITURA DE TORITAMA - PROCESSO FMS Nº 017/2023 - PREGÃO ELETRÔNICO SRPC Nº 019/2023 ARP 114/2023 - ITEM - 219</t>
  </si>
  <si>
    <t>PREFEITURA DE TORITAMA - PROCESSO FMS Nº 017/2023 - PREGÃO ELETRÔNICO SRPC Nº 019/2023 ARP 114/2023 - ITEM - 269</t>
  </si>
  <si>
    <t>PREFEITURA DE TORITAMA - PROCESSO FMS Nº 017/2023 - PREGÃO ELETRÔNICO SRPC Nº 019/2023 ARP 115/2023 - ITEM - 220</t>
  </si>
  <si>
    <t>PREFEITURA DE TORITAMA - PROCESSO FMS Nº 017/2023 - PREGÃO ELETRÔNICO SRPC Nº 019/2023 ARP 115/2023 - ITEM - 38</t>
  </si>
  <si>
    <t>PREFEITURA DE TORITAMA - PROCESSO FMS Nº 017/2023 - PREGÃO ELETRÔNICO SRPC Nº 019/2023 ARP 115/2023 - ITEM - 216</t>
  </si>
  <si>
    <t>PREFEITURA DE TORITAMA - PROCESSO FMS Nº 017/2023 - PREGÃO ELETRÔNICO SRPC Nº 019/2023 ARP 115/2023 - ITEM - 223</t>
  </si>
  <si>
    <t>PREFEITURA DE TORITAMA - PROCESSO FMS Nº 017/2023 - PREGÃO ELETRÔNICO SRPC Nº 019/2023 ARP 115/2023 - ITEM - 304</t>
  </si>
  <si>
    <t>PREFEITURA DE TORITAMA - PROCESSO FMS Nº 017/2023 - PREGÃO ELETRÔNICO SRPC Nº 019/2023 ARP 116/2023 - ITEM - 4</t>
  </si>
  <si>
    <t>PREFEITURA DE TORITAMA - PROCESSO FMS Nº 017/2023 - PREGÃO ELETRÔNICO SRPC Nº 019/2023 ARP 116/2023 - ITEM - 24</t>
  </si>
  <si>
    <t>PREFEITURA DE TORITAMA - PROCESSO FMS Nº 017/2023 - PREGÃO ELETRÔNICO SRPC Nº 019/2023 ARP 116/2023 - ITEM - 37</t>
  </si>
  <si>
    <t>PREFEITURA DE TORITAMA - PROCESSO FMS Nº 017/2023 - PREGÃO ELETRÔNICO SRPC Nº 019/2023 ARP 116/2023 - ITEM - 52</t>
  </si>
  <si>
    <t>PREFEITURA DE TORITAMA - PROCESSO FMS Nº 017/2023 - PREGÃO ELETRÔNICO SRPC Nº 019/2023 ARP 116/2023 - ITEM - 57</t>
  </si>
  <si>
    <t>PREFEITURA DE TORITAMA - PROCESSO FMS Nº 017/2023 - PREGÃO ELETRÔNICO SRPC Nº 019/2023 ARP 116/2023 - ITEM - 59</t>
  </si>
  <si>
    <t>PREFEITURA DE TORITAMA - PROCESSO FMS Nº 017/2023 - PREGÃO ELETRÔNICO SRPC Nº 019/2023 ARP 116/2023 - ITEM - 60</t>
  </si>
  <si>
    <t>PREFEITURA DE TORITAMA - PROCESSO FMS Nº 017/2023 - PREGÃO ELETRÔNICO SRPC Nº 019/2023 ARP 116/2023 - ITEM - 61</t>
  </si>
  <si>
    <t>PREFEITURA DE TORITAMA - PROCESSO FMS Nº 017/2023 - PREGÃO ELETRÔNICO SRPC Nº 019/2023 ARP 116/2023 - ITEM - 62</t>
  </si>
  <si>
    <t>PREFEITURA DE TORITAMA - PROCESSO FMS Nº 017/2023 - PREGÃO ELETRÔNICO SRPC Nº 019/2023 ARP 116/2023 - ITEM - 67</t>
  </si>
  <si>
    <t>PREFEITURA DE TORITAMA - PROCESSO FMS Nº 017/2023 - PREGÃO ELETRÔNICO SRPC Nº 019/2023 ARP 116/2023 - ITEM - 68</t>
  </si>
  <si>
    <t>PREFEITURA DE TORITAMA - PROCESSO FMS Nº 017/2023 - PREGÃO ELETRÔNICO SRPC Nº 019/2023 ARP 116/2023 - ITEM - 74</t>
  </si>
  <si>
    <t>PREFEITURA DE TORITAMA - PROCESSO FMS Nº 017/2023 - PREGÃO ELETRÔNICO SRPC Nº 019/2023 ARP 116/2023 - ITEM - 77</t>
  </si>
  <si>
    <t>PREFEITURA DE TORITAMA - PROCESSO FMS Nº 017/2023 - PREGÃO ELETRÔNICO SRPC Nº 019/2023 ARP 116/2023 - ITEM - 78</t>
  </si>
  <si>
    <t>PREFEITURA DE TORITAMA - PROCESSO FMS Nº 017/2023 - PREGÃO ELETRÔNICO SRPC Nº 019/2023 ARP 116/2023 - ITEM - 79</t>
  </si>
  <si>
    <t>PREFEITURA DE TORITAMA - PROCESSO FMS Nº 017/2023 - PREGÃO ELETRÔNICO SRPC Nº 019/2023 ARP 116/2023 - ITEM - 81</t>
  </si>
  <si>
    <t>PREFEITURA DE TORITAMA - PROCESSO FMS Nº 017/2023 - PREGÃO ELETRÔNICO SRPC Nº 019/2023 ARP 116/2023 - ITEM - 82</t>
  </si>
  <si>
    <t>PREFEITURA DE TORITAMA - PROCESSO FMS Nº 017/2023 - PREGÃO ELETRÔNICO SRPC Nº 019/2023 ARP 116/2023 - ITEM - 83</t>
  </si>
  <si>
    <t>PREFEITURA DE TORITAMA - PROCESSO FMS Nº 017/2023 - PREGÃO ELETRÔNICO SRPC Nº 019/2023 ARP 116/2023 - ITEM - 84</t>
  </si>
  <si>
    <t>PREFEITURA DE TORITAMA - PROCESSO FMS Nº 017/2023 - PREGÃO ELETRÔNICO SRPC Nº 019/2023 ARP 116/2023 - ITEM - 85</t>
  </si>
  <si>
    <t>PREFEITURA DE TORITAMA - PROCESSO FMS Nº 017/2023 - PREGÃO ELETRÔNICO SRPC Nº 019/2023 ARP 116/2023 - ITEM - 86</t>
  </si>
  <si>
    <t>PREFEITURA DE TORITAMA - PROCESSO FMS Nº 017/2023 - PREGÃO ELETRÔNICO SRPC Nº 019/2023 ARP 116/2023 - ITEM - 87</t>
  </si>
  <si>
    <t>PREFEITURA DE TORITAMA - PROCESSO FMS Nº 017/2023 - PREGÃO ELETRÔNICO SRPC Nº 019/2023 ARP 116/2023 - ITEM - 88</t>
  </si>
  <si>
    <t>PREFEITURA DE TORITAMA - PROCESSO FMS Nº 017/2023 - PREGÃO ELETRÔNICO SRPC Nº 019/2023 ARP 116/2023 - ITEM - 89</t>
  </si>
  <si>
    <t>PREFEITURA DE TORITAMA - PROCESSO FMS Nº 017/2023 - PREGÃO ELETRÔNICO SRPC Nº 019/2023 ARP 116/2023 - ITEM - 90</t>
  </si>
  <si>
    <t>PREFEITURA DE TORITAMA - PROCESSO FMS Nº 017/2023 - PREGÃO ELETRÔNICO SRPC Nº 019/2023 ARP 116/2023 - ITEM - 91</t>
  </si>
  <si>
    <t>PREFEITURA DE TORITAMA - PROCESSO FMS Nº 017/2023 - PREGÃO ELETRÔNICO SRPC Nº 019/2023 ARP 116/2023 - ITEM - 92</t>
  </si>
  <si>
    <t>PREFEITURA DE TORITAMA - PROCESSO FMS Nº 017/2023 - PREGÃO ELETRÔNICO SRPC Nº 019/2023 ARP 116/2023 - ITEM - 95</t>
  </si>
  <si>
    <t>PREFEITURA DE TORITAMA - PROCESSO FMS Nº 017/2023 - PREGÃO ELETRÔNICO SRPC Nº 019/2023 ARP 116/2023 - ITEM - 96</t>
  </si>
  <si>
    <t>PREFEITURA DE TORITAMA - PROCESSO FMS Nº 017/2023 - PREGÃO ELETRÔNICO SRPC Nº 019/2023 ARP 116/2023 - ITEM - 97</t>
  </si>
  <si>
    <t>PREFEITURA DE TORITAMA - PROCESSO FMS Nº 017/2023 - PREGÃO ELETRÔNICO SRPC Nº 019/2023 ARP 116/2023 - ITEM - 99</t>
  </si>
  <si>
    <t>PREFEITURA DE TORITAMA - PROCESSO FMS Nº 017/2023 - PREGÃO ELETRÔNICO SRPC Nº 019/2023 ARP 116/2023 - ITEM - 111</t>
  </si>
  <si>
    <t>PREFEITURA DE TORITAMA - PROCESSO FMS Nº 017/2023 - PREGÃO ELETRÔNICO SRPC Nº 019/2023 ARP 116/2023 - ITEM - 150</t>
  </si>
  <si>
    <t>PREFEITURA DE TORITAMA - PROCESSO FMS Nº 017/2023 - PREGÃO ELETRÔNICO SRPC Nº 019/2023 ARP 116/2023 - ITEM - 155</t>
  </si>
  <si>
    <t>PREFEITURA DE TORITAMA - PROCESSO FMS Nº 017/2023 - PREGÃO ELETRÔNICO SRPC Nº 019/2023 ARP 116/2023 - ITEM - 157</t>
  </si>
  <si>
    <t>PREFEITURA DE TORITAMA - PROCESSO FMS Nº 017/2023 - PREGÃO ELETRÔNICO SRPC Nº 019/2023 ARP 116/2023 - ITEM - 158</t>
  </si>
  <si>
    <t>PREFEITURA DE TORITAMA - PROCESSO FMS Nº 017/2023 - PREGÃO ELETRÔNICO SRPC Nº 019/2023 ARP 116/2023 - ITEM - 172</t>
  </si>
  <si>
    <t>PREFEITURA DE TORITAMA - PROCESSO FMS Nº 017/2023 - PREGÃO ELETRÔNICO SRPC Nº 019/2023 ARP 116/2023 - ITEM - 173</t>
  </si>
  <si>
    <t>PREFEITURA DE TORITAMA - PROCESSO FMS Nº 017/2023 - PREGÃO ELETRÔNICO SRPC Nº 019/2023 ARP 116/2023 - ITEM - 174</t>
  </si>
  <si>
    <t>PREFEITURA DE TORITAMA - PROCESSO FMS Nº 017/2023 - PREGÃO ELETRÔNICO SRPC Nº 019/2023 ARP 116/2023 - ITEM - 175</t>
  </si>
  <si>
    <t>PREFEITURA DE TORITAMA - PROCESSO FMS Nº 017/2023 - PREGÃO ELETRÔNICO SRPC Nº 019/2023 ARP 116/2023 - ITEM - 200</t>
  </si>
  <si>
    <t>PREFEITURA DE TORITAMA - PROCESSO FMS Nº 017/2023 - PREGÃO ELETRÔNICO SRPC Nº 019/2023 ARP 116/2023 - ITEM - 201</t>
  </si>
  <si>
    <t>PREFEITURA DE TORITAMA - PROCESSO FMS Nº 017/2023 - PREGÃO ELETRÔNICO SRPC Nº 019/2023 ARP 116/2023 - ITEM - 210</t>
  </si>
  <si>
    <t>PREFEITURA DE TORITAMA - PROCESSO FMS Nº 017/2023 - PREGÃO ELETRÔNICO SRPC Nº 019/2023 ARP 116/2023 - ITEM - 211</t>
  </si>
  <si>
    <t>PREFEITURA DE TORITAMA - PROCESSO FMS Nº 017/2023 - PREGÃO ELETRÔNICO SRPC Nº 019/2023 ARP 116/2023 - ITEM - 212</t>
  </si>
  <si>
    <t>PREFEITURA DE TORITAMA - PROCESSO FMS Nº 017/2023 - PREGÃO ELETRÔNICO SRPC Nº 019/2023 ARP 116/2023 - ITEM - 214</t>
  </si>
  <si>
    <t>PREFEITURA DE TORITAMA - PROCESSO FMS Nº 017/2023 - PREGÃO ELETRÔNICO SRPC Nº 019/2023 ARP 116/2023 - ITEM - 215</t>
  </si>
  <si>
    <t>PREFEITURA DE TORITAMA - PROCESSO FMS Nº 017/2023 - PREGÃO ELETRÔNICO SRPC Nº 019/2023 ARP 116/2023 - ITEM - 218</t>
  </si>
  <si>
    <t>PREFEITURA DE TORITAMA - PROCESSO FMS Nº 017/2023 - PREGÃO ELETRÔNICO SRPC Nº 019/2023 ARP 116/2023 - ITEM - 217</t>
  </si>
  <si>
    <t>PREFEITURA DE TORITAMA - PROCESSO FMS Nº 017/2023 - PREGÃO ELETRÔNICO SRPC Nº 019/2023 ARP 116/2023 - ITEM - 224</t>
  </si>
  <si>
    <t>PREFEITURA DE TORITAMA - PROCESSO FMS Nº 017/2023 - PREGÃO ELETRÔNICO SRPC Nº 019/2023 ARP 116/2023 - ITEM - 233</t>
  </si>
  <si>
    <t>PREFEITURA DE TORITAMA - PROCESSO FMS Nº 017/2023 - PREGÃO ELETRÔNICO SRPC Nº 019/2023 ARP 116/2023 - ITEM - 234</t>
  </si>
  <si>
    <t>PREFEITURA DE TORITAMA - PROCESSO FMS Nº 017/2023 - PREGÃO ELETRÔNICO SRPC Nº 019/2023 ARP 116/2023 - ITEM - 235</t>
  </si>
  <si>
    <t>PREFEITURA DE TORITAMA - PROCESSO FMS Nº 017/2023 - PREGÃO ELETRÔNICO SRPC Nº 019/2023 ARP 116/2023 - ITEM - 237</t>
  </si>
  <si>
    <t>PREFEITURA DE TORITAMA - PROCESSO FMS Nº 017/2023 - PREGÃO ELETRÔNICO SRPC Nº 019/2023 ARP 116/2023 - ITEM - 238</t>
  </si>
  <si>
    <t>PREFEITURA DE TORITAMA - PROCESSO FMS Nº 017/2023 - PREGÃO ELETRÔNICO SRPC Nº 019/2023 ARP 116/2023 - ITEM - 239</t>
  </si>
  <si>
    <t>PREFEITURA DE TORITAMA - PROCESSO FMS Nº 017/2023 - PREGÃO ELETRÔNICO SRPC Nº 019/2023 ARP 116/2023 - ITEM - 242</t>
  </si>
  <si>
    <t>PREFEITURA DE TORITAMA - PROCESSO FMS Nº 017/2023 - PREGÃO ELETRÔNICO SRPC Nº 019/2023 ARP 116/2023 - ITEM - 248</t>
  </si>
  <si>
    <t>PREFEITURA DE TORITAMA - PROCESSO FMS Nº 017/2023 - PREGÃO ELETRÔNICO SRPC Nº 019/2023 ARP 116/2023 - ITEM - 280</t>
  </si>
  <si>
    <t>PREFEITURA DE TORITAMA - PROCESSO FMS Nº 017/2023 - PREGÃO ELETRÔNICO SRPC Nº 019/2023 ARP 116/2023 - ITEM - 281</t>
  </si>
  <si>
    <t>PREFEITURA DE TORITAMA - PROCESSO FMS Nº 017/2023 - PREGÃO ELETRÔNICO SRPC Nº 019/2023 ARP 116/2023 - ITEM - 293</t>
  </si>
  <si>
    <t>PREFEITURA DE TORITAMA - PROCESSO FMS Nº 017/2023 - PREGÃO ELETRÔNICO SRPC Nº 019/2023 ARP 116/2023 - ITEM - 294</t>
  </si>
  <si>
    <t>PREFEITURA DE TORITAMA - PROCESSO FMS Nº 017/2023 - PREGÃO ELETRÔNICO SRPC Nº 019/2023 ARP 116/2023 - ITEM - 295</t>
  </si>
  <si>
    <t>PREFEITURA DE TORITAMA - PROCESSO FMS Nº 017/2023 - PREGÃO ELETRÔNICO SRPC Nº 019/2023 ARP 116/2023 - ITEM - 296</t>
  </si>
  <si>
    <t>PREFEITURA DE TORITAMA - PROCESSO FMS Nº 017/2023 - PREGÃO ELETRÔNICO SRPC Nº 019/2023 ARP 116/2023 - ITEM - 297</t>
  </si>
  <si>
    <t>PREFEITURA DE TORITAMA - PROCESSO FMS Nº 017/2023 - PREGÃO ELETRÔNICO SRPC Nº 019/2023 ARP 116/2023 - ITEM - 298</t>
  </si>
  <si>
    <t>PREFEITURA DE TORITAMA - PROCESSO FMS Nº 017/2023 - PREGÃO ELETRÔNICO SRPC Nº 019/2023 ARP 116/2023 - ITEM - 299</t>
  </si>
  <si>
    <t>PREFEITURA DE TORITAMA - PROCESSO FMS Nº 017/2023 - PREGÃO ELETRÔNICO SRPC Nº 019/2023 ARP 116/2023 - ITEM - 300</t>
  </si>
  <si>
    <t>PREFEITURA DE TORITAMA - PROCESSO FMS Nº 017/2023 - PREGÃO ELETRÔNICO SRPC Nº 019/2023 ARP 116/2023 - ITEM - 301</t>
  </si>
  <si>
    <t>PREFEITURA DE TORITAMA - PROCESSO FMS Nº 017/2023 - PREGÃO ELETRÔNICO SRPC Nº 019/2023 ARP 116/2023 - ITEM - 302</t>
  </si>
  <si>
    <t>PREFEITURA DE TORITAMA - PROCESSO FMS Nº 017/2023 - PREGÃO ELETRÔNICO SRPC Nº 019/2023 ARP 116/2023 - ITEM - 303</t>
  </si>
  <si>
    <t>PREFEITURA DE TORITAMA - PROCESSO FMS Nº 017/2023 - PREGÃO ELETRÔNICO SRPC Nº 019/2023 ARP 116/2023 - ITEM - 307</t>
  </si>
  <si>
    <t>PREFEITURA DE TORITAMA - PROCESSO FMS Nº 017/2023 - PREGÃO ELETRÔNICO SRPC Nº 019/2023 ARP 116/2023 - ITEM - 309</t>
  </si>
  <si>
    <t>PREFEITURA DE TORITAMA - PROCESSO FMS Nº 017/2023 - PREGÃO ELETRÔNICO SRPC Nº 019/2023 ARP 116/2023 - ITEM - 310</t>
  </si>
  <si>
    <t>PREFEITURA DE TORITAMA - PROCESSO FMS Nº 017/2023 - PREGÃO ELETRÔNICO SRPC Nº 019/2023 ARP 116/2023 - ITEM - 311</t>
  </si>
  <si>
    <t>PREFEITURA DE TORITAMA - PROCESSO FMS Nº 017/2023 - PREGÃO ELETRÔNICO SRPC Nº 019/2023 ARP 116/2023 - ITEM - 313</t>
  </si>
  <si>
    <t>PREFEITURA DE TORITAMA - PROCESSO FMS Nº 017/2023 - PREGÃO ELETRÔNICO SRPC Nº 019/2023 ARP 117/2023 - ITEM - 36</t>
  </si>
  <si>
    <t>PREFEITURA DE TORITAMA - PROCESSO FMS Nº 017/2023 - PREGÃO ELETRÔNICO SRPC Nº 019/2023 ARP 117/2023 - ITEM - 98</t>
  </si>
  <si>
    <t>PREFEITURA DE TORITAMA - PROCESSO FMS Nº 017/2023 - PREGÃO ELETRÔNICO SRPC Nº 019/2023 ARP 117/2023 - ITEM - 100</t>
  </si>
  <si>
    <t>PREFEITURA DE TORITAMA - PROCESSO FMS Nº 017/2023 - PREGÃO ELETRÔNICO SRPC Nº 019/2023 ARP 118/2023 - ITEM - 156</t>
  </si>
  <si>
    <t>PREFEITURA DE TORITAMA - PROCESSO FMS Nº 017/2023 - PREGÃO ELETRÔNICO SRPC Nº 019/2023 ARP 118/2023 - ITEM - 312</t>
  </si>
  <si>
    <t>PREFEITURA DE TORITAMA - PROCESSO FMS Nº 017/2023 - PREGÃO ELETRÔNICO SRPC Nº 019/2023 ARP 118/2023 - ITEM - 314</t>
  </si>
  <si>
    <t>PREFEITURA DE TORITAMA - PROCESSO FMS Nº 017/2023 - PREGÃO ELETRÔNICO SRPC Nº 019/2023 ARP 119/2023 - ITEM - 12</t>
  </si>
  <si>
    <t>PREFEITURA DE TORITAMA - PROCESSO FMS Nº 017/2023 - PREGÃO ELETRÔNICO SRPC Nº 019/2023 ARP 119/2023 - ITEM - 14</t>
  </si>
  <si>
    <t>PREFEITURA DE TORITAMA - PROCESSO FMS Nº 017/2023 - PREGÃO ELETRÔNICO SRPC Nº 019/2023 ARP 119/2023 - ITEM - 22</t>
  </si>
  <si>
    <t>PREFEITURA DE TORITAMA - PROCESSO FMS Nº 017/2023 - PREGÃO ELETRÔNICO SRPC Nº 019/2023 ARP 119/2023 - ITEM - 23</t>
  </si>
  <si>
    <t>PREFEITURA DE TORITAMA - PROCESSO FMS Nº 017/2023 - PREGÃO ELETRÔNICO SRPC Nº 019/2023 ARP 119/2023 - ITEM - 31</t>
  </si>
  <si>
    <t>PREFEITURA DE TORITAMA - PROCESSO FMS Nº 017/2023 - PREGÃO ELETRÔNICO SRPC Nº 019/2023 ARP 119/2023 - ITEM - 32</t>
  </si>
  <si>
    <t>PREFEITURA DE TORITAMA - PROCESSO FMS Nº 017/2023 - PREGÃO ELETRÔNICO SRPC Nº 019/2023 ARP 119/2023 - ITEM - 33</t>
  </si>
  <si>
    <t>PREFEITURA DE TORITAMA - PROCESSO FMS Nº 017/2023 - PREGÃO ELETRÔNICO SRPC Nº 019/2023 ARP 119/2023 - ITEM - 34</t>
  </si>
  <si>
    <t>PREFEITURA DE TORITAMA - PROCESSO FMS Nº 017/2023 - PREGÃO ELETRÔNICO SRPC Nº 019/2023 ARP 119/2023 - ITEM - 35</t>
  </si>
  <si>
    <t>PREFEITURA DE TORITAMA - PROCESSO FMS Nº 017/2023 - PREGÃO ELETRÔNICO SRPC Nº 019/2023 ARP 119/2023 - ITEM - 55</t>
  </si>
  <si>
    <t>PREFEITURA DE TORITAMA - PROCESSO FMS Nº 017/2023 - PREGÃO ELETRÔNICO SRPC Nº 019/2023 ARP 119/2023 - ITEM - 56</t>
  </si>
  <si>
    <t>PREFEITURA DE TORITAMA - PROCESSO FMS Nº 017/2023 - PREGÃO ELETRÔNICO SRPC Nº 019/2023 ARP 119/2023 - ITEM - 58</t>
  </si>
  <si>
    <t>PREFEITURA DE TORITAMA - PROCESSO FMS Nº 017/2023 - PREGÃO ELETRÔNICO SRPC Nº 019/2023 ARP 119/2023 - ITEM - 69</t>
  </si>
  <si>
    <t>PREFEITURA DE TORITAMA - PROCESSO FMS Nº 017/2023 - PREGÃO ELETRÔNICO SRPC Nº 019/2023 ARP 119/2023 - ITEM - 108</t>
  </si>
  <si>
    <t>PREFEITURA DE TORITAMA - PROCESSO FMS Nº 017/2023 - PREGÃO ELETRÔNICO SRPC Nº 019/2023 ARP 119/2023 - ITEM - 117</t>
  </si>
  <si>
    <t>PREFEITURA DE TORITAMA - PROCESSO FMS Nº 017/2023 - PREGÃO ELETRÔNICO SRPC Nº 019/2023 ARP 119/2023 - ITEM - 122</t>
  </si>
  <si>
    <t>PREFEITURA DE TORITAMA - PROCESSO FMS Nº 017/2023 - PREGÃO ELETRÔNICO SRPC Nº 019/2023 ARP 119/2023 - ITEM - 136</t>
  </si>
  <si>
    <t>PREFEITURA DE TORITAMA - PROCESSO FMS Nº 017/2023 - PREGÃO ELETRÔNICO SRPC Nº 019/2023 ARP 119/2023 - ITEM - 137</t>
  </si>
  <si>
    <t>PREFEITURA DE TORITAMA - PROCESSO FMS Nº 017/2023 - PREGÃO ELETRÔNICO SRPC Nº 019/2023 ARP 119/2023 - ITEM - 148</t>
  </si>
  <si>
    <t>PREFEITURA DE TORITAMA - PROCESSO FMS Nº 017/2023 - PREGÃO ELETRÔNICO SRPC Nº 019/2023 ARP 119/2023 - ITEM - 151</t>
  </si>
  <si>
    <t>PREFEITURA DE TORITAMA - PROCESSO FMS Nº 017/2023 - PREGÃO ELETRÔNICO SRPC Nº 019/2023 ARP 119/2023 - ITEM - 154</t>
  </si>
  <si>
    <t>PREFEITURA DE TORITAMA - PROCESSO FMS Nº 017/2023 - PREGÃO ELETRÔNICO SRPC Nº 019/2023 ARP 119/2023 - ITEM - 161</t>
  </si>
  <si>
    <t>PREFEITURA DE TORITAMA - PROCESSO FMS Nº 017/2023 - PREGÃO ELETRÔNICO SRPC Nº 019/2023 ARP 119/2023 - ITEM - 162</t>
  </si>
  <si>
    <t>PREFEITURA DE TORITAMA - PROCESSO FMS Nº 017/2023 - PREGÃO ELETRÔNICO SRPC Nº 019/2023 ARP 119/2023 - ITEM - 169</t>
  </si>
  <si>
    <t>PREFEITURA DE TORITAMA - PROCESSO FMS Nº 017/2023 - PREGÃO ELETRÔNICO SRPC Nº 019/2023 ARP 119/2023 - ITEM - 181</t>
  </si>
  <si>
    <t>PREFEITURA DE TORITAMA - PROCESSO FMS Nº 017/2023 - PREGÃO ELETRÔNICO SRPC Nº 019/2023 ARP 119/2023 - ITEM - 191</t>
  </si>
  <si>
    <t>PREFEITURA DE TORITAMA - PROCESSO FMS Nº 017/2023 - PREGÃO ELETRÔNICO SRPC Nº 019/2023 ARP 119/2023 - ITEM - 192</t>
  </si>
  <si>
    <t>PREFEITURA DE TORITAMA - PROCESSO FMS Nº 017/2023 - PREGÃO ELETRÔNICO SRPC Nº 019/2023 ARP 119/2023 - ITEM - 193</t>
  </si>
  <si>
    <t>PREFEITURA DE TORITAMA - PROCESSO FMS Nº 017/2023 - PREGÃO ELETRÔNICO SRPC Nº 019/2023 ARP 119/2023 - ITEM - 194</t>
  </si>
  <si>
    <t>PREFEITURA DE TORITAMA - PROCESSO FMS Nº 017/2023 - PREGÃO ELETRÔNICO SRPC Nº 019/2023 ARP 119/2023 - ITEM - 195</t>
  </si>
  <si>
    <t>PREFEITURA DE TORITAMA - PROCESSO FMS Nº 017/2023 - PREGÃO ELETRÔNICO SRPC Nº 019/2023 ARP 119/2023 - ITEM - 196</t>
  </si>
  <si>
    <t>PREFEITURA DE TORITAMA - PROCESSO FMS Nº 017/2023 - PREGÃO ELETRÔNICO SRPC Nº 019/2023 ARP 119/2023 - ITEM - 208</t>
  </si>
  <si>
    <t>PREFEITURA DE TORITAMA - PROCESSO FMS Nº 017/2023 - PREGÃO ELETRÔNICO SRPC Nº 019/2023 ARP 119/2023 - ITEM - 209</t>
  </si>
  <si>
    <t>PREFEITURA DE TORITAMA - PROCESSO FMS Nº 017/2023 - PREGÃO ELETRÔNICO SRPC Nº 019/2023 ARP 119/2023 - ITEM - 213</t>
  </si>
  <si>
    <t>PREFEITURA DE TORITAMA - PROCESSO FMS Nº 017/2023 - PREGÃO ELETRÔNICO SRPC Nº 019/2023 ARP 119/2023 - ITEM - 221</t>
  </si>
  <si>
    <t>PREFEITURA DE TORITAMA - PROCESSO FMS Nº 017/2023 - PREGÃO ELETRÔNICO SRPC Nº 019/2023 ARP 119/2023 - ITEM - 222</t>
  </si>
  <si>
    <t>PREFEITURA DE TORITAMA - PROCESSO FMS Nº 017/2023 - PREGÃO ELETRÔNICO SRPC Nº 019/2023 ARP 120/2023 - ITEM - 177</t>
  </si>
  <si>
    <t>PREFEITURA DE TORITAMA - PROCESSO FMS Nº 017/2023 - PREGÃO ELETRÔNICO SRPC Nº 019/2023 ARP 120/2023 - ITEM - 178</t>
  </si>
  <si>
    <t>PREFEITURA DE TORITAMA - PROCESSO FMS Nº 017/2023 - PREGÃO ELETRÔNICO SRPC Nº 019/2023 ARP 120/2023 - ITEM - 179</t>
  </si>
  <si>
    <t>PREFEITURA DE TORITAMA - PROCESSO FMS Nº 017/2023 - PREGÃO ELETRÔNICO SRPC Nº 019/2023 ARP 122/2023 - ITEM - 107</t>
  </si>
  <si>
    <t>PREFEITURA DE TORITAMA - PROCESSO FMS Nº 017/2023 - PREGÃO ELETRÔNICO SRPC Nº 019/2023 ARP 122/2023 - ITEM - 198</t>
  </si>
  <si>
    <t>PREFEITURA DE TORITAMA - PROCESSO FMS Nº 017/2023 - PREGÃO ELETRÔNICO SRPC Nº 019/2023 ARP 123/2023 - ITEM - 2</t>
  </si>
  <si>
    <t>PREFEITURA DE TORITAMA - PROCESSO FMS Nº 017/2023 - PREGÃO ELETRÔNICO SRPC Nº 019/2023 ARP 123/2023 - ITEM - 54</t>
  </si>
  <si>
    <t>PREFEITURA DE TORITAMA - PROCESSO FMS Nº 017/2023 - PREGÃO ELETRÔNICO SRPC Nº 019/2023 ARP 123/2023 - ITEM - 70</t>
  </si>
  <si>
    <t>PREFEITURA DE TORITAMA - PROCESSO FMS Nº 017/2023 - PREGÃO ELETRÔNICO SRPC Nº 019/2023 ARP 123/2023 - ITEM - 71</t>
  </si>
  <si>
    <t>PREFEITURA DE TORITAMA - PROCESSO FMS Nº 017/2023 - PREGÃO ELETRÔNICO SRPC Nº 019/2023 ARP 123/2023 - ITEM - 72</t>
  </si>
  <si>
    <t>PREFEITURA DE TORITAMA - PROCESSO FMS Nº 017/2023 - PREGÃO ELETRÔNICO SRPC Nº 019/2023 ARP 123/2023 - ITEM - 73</t>
  </si>
  <si>
    <t>PREFEITURA DE TORITAMA - PROCESSO FMS Nº 017/2023 - PREGÃO ELETRÔNICO SRPC Nº 019/2023 ARP 123/2023 - ITEM - 112</t>
  </si>
  <si>
    <t>PREFEITURA DE TORITAMA - PROCESSO FMS Nº 017/2023 - PREGÃO ELETRÔNICO SRPC Nº 019/2023 ARP 123/2023 - ITEM - 113</t>
  </si>
  <si>
    <t>PREFEITURA DE TORITAMA - PROCESSO FMS Nº 017/2023 - PREGÃO ELETRÔNICO SRPC Nº 019/2023 ARP 123/2023 - ITEM - 114</t>
  </si>
  <si>
    <t>PREFEITURA DE TORITAMA - PROCESSO FMS Nº 017/2023 - PREGÃO ELETRÔNICO SRPC Nº 019/2023 ARP 123/2023 - ITEM - 115</t>
  </si>
  <si>
    <t>PREFEITURA DE TORITAMA - PROCESSO FMS Nº 017/2023 - PREGÃO ELETRÔNICO SRPC Nº 019/2023 ARP 123/2023 - ITEM - 124</t>
  </si>
  <si>
    <t>PREFEITURA DE TORITAMA - PROCESSO FMS Nº 017/2023 - PREGÃO ELETRÔNICO SRPC Nº 019/2023 ARP 123/2023 - ITEM - 125</t>
  </si>
  <si>
    <t>PREFEITURA DE TORITAMA - PROCESSO FMS Nº 017/2023 - PREGÃO ELETRÔNICO SRPC Nº 019/2023 ARP 123/2023 - ITEM - 138</t>
  </si>
  <si>
    <t>PREFEITURA DE TORITAMA - PROCESSO FMS Nº 017/2023 - PREGÃO ELETRÔNICO SRPC Nº 019/2023 ARP 123/2023 - ITEM - 139</t>
  </si>
  <si>
    <t>PREFEITURA DE TORITAMA - PROCESSO FMS Nº 017/2023 - PREGÃO ELETRÔNICO SRPC Nº 019/2023 ARP 123/2023 - ITEM - 140</t>
  </si>
  <si>
    <t>PREFEITURA DE TORITAMA - PROCESSO FMS Nº 017/2023 - PREGÃO ELETRÔNICO SRPC Nº 019/2023 ARP 123/2023 - ITEM - 141</t>
  </si>
  <si>
    <t>PREFEITURA DE TORITAMA - PROCESSO FMS Nº 017/2023 - PREGÃO ELETRÔNICO SRPC Nº 019/2023 ARP 123/2023 - ITEM - 142</t>
  </si>
  <si>
    <t>PREFEITURA DE TORITAMA - PROCESSO FMS Nº 017/2023 - PREGÃO ELETRÔNICO SRPC Nº 019/2023 ARP 123/2023 - ITEM - 226</t>
  </si>
  <si>
    <t xml:space="preserve">PREFEITURA DE TORITAMA - PROCESSO FMS Nº 017/2023 - PREGÃO ELETRÔNICO SRPC Nº 019/2023 ARP 124/2023 - ITEM - 1 </t>
  </si>
  <si>
    <t>PREFEITURA DE TORITAMA - PROCESSO FMS Nº 017/2023 - PREGÃO ELETRÔNICO SRPC Nº 019/2023 ARP 124/2023 - ITEM - 6</t>
  </si>
  <si>
    <t>PREFEITURA DE TORITAMA - PROCESSO FMS Nº 017/2023 - PREGÃO ELETRÔNICO SRPC Nº 019/2023 ARP 125/2023 - ITEM - 126</t>
  </si>
  <si>
    <t>PREFEITURA DE TORITAMA - PROCESSO FMS Nº 017/2023 - PREGÃO ELETRÔNICO SRPC Nº 019/2023 ARP 127/2023 - ITEM - 20</t>
  </si>
  <si>
    <t>PREFEITURA DE TORITAMA - PROCESSO FMS Nº 017/2023 - PREGÃO ELETRÔNICO SRPC Nº 019/2023 ARP 128/2023 - ITEM - 9</t>
  </si>
  <si>
    <t>PREFEITURA DE TORITAMA - PROCESSO FMS Nº 017/2023 - PREGÃO ELETRÔNICO SRPC Nº 019/2023 ARP 128/2023 - ITEM - 25</t>
  </si>
  <si>
    <t>PREFEITURA DE TORITAMA - PROCESSO FMS Nº 017/2023 - PREGÃO ELETRÔNICO SRPC Nº 019/2023 ARP 128/2023 - ITEM - 26</t>
  </si>
  <si>
    <t>PREFEITURA DE TORITAMA - PROCESSO FMS Nº 017/2023 - PREGÃO ELETRÔNICO SRPC Nº 019/2023 ARP 128/2023 - ITEM - 27</t>
  </si>
  <si>
    <t>PREFEITURA DE TORITAMA - PROCESSO FMS Nº 017/2023 - PREGÃO ELETRÔNICO SRPC Nº 019/2023 ARP 128/2023 - ITEM - 28</t>
  </si>
  <si>
    <t>PREFEITURA DE TORITAMA - PROCESSO FMS Nº 017/2023 - PREGÃO ELETRÔNICO SRPC Nº 019/2023 ARP 128/2023 - ITEM - 29</t>
  </si>
  <si>
    <t>PREFEITURA DE TORITAMA - PROCESSO FMS Nº 017/2023 - PREGÃO ELETRÔNICO SRPC Nº 019/2023 ARP 128/2023 - ITEM - 30</t>
  </si>
  <si>
    <t>PREFEITURA DE TORITAMA - PROCESSO FMS Nº 017/2023 - PREGÃO ELETRÔNICO SRPC Nº 019/2023 ARP 128/2023 - ITEM - 63</t>
  </si>
  <si>
    <t>PREFEITURA DE TORITAMA - PROCESSO FMS Nº 017/2023 - PREGÃO ELETRÔNICO SRPC Nº 019/2023 ARP 128/2023 - ITEM - 66</t>
  </si>
  <si>
    <t>PREFEITURA DE TORITAMA - PROCESSO FMS Nº 017/2023 - PREGÃO ELETRÔNICO SRPC Nº 019/2023 ARP 128/2023 - ITEM - 103</t>
  </si>
  <si>
    <t>PREFEITURA DE TORITAMA - PROCESSO FMS Nº 017/2023 - PREGÃO ELETRÔNICO SRPC Nº 019/2023 ARP 128/2023 - ITEM - 102</t>
  </si>
  <si>
    <t>PREFEITURA DE TORITAMA - PROCESSO FMS Nº 017/2023 - PREGÃO ELETRÔNICO SRPC Nº 019/2023 ARP 128/2023 - ITEM - 104</t>
  </si>
  <si>
    <t>PREFEITURA DE TORITAMA - PROCESSO FMS Nº 017/2023 - PREGÃO ELETRÔNICO SRPC Nº 019/2023 ARP 128/2023 - ITEM - 106</t>
  </si>
  <si>
    <t>PREFEITURA DE TORITAMA - PROCESSO FMS Nº 017/2023 - PREGÃO ELETRÔNICO SRPC Nº 019/2023 ARP 128/2023 - ITEM - 110</t>
  </si>
  <si>
    <t>PREFEITURA DE TORITAMA - PROCESSO FMS Nº 017/2023 - PREGÃO ELETRÔNICO SRPC Nº 019/2023 ARP 128/2023 - ITEM - 116</t>
  </si>
  <si>
    <t>PREFEITURA DE TORITAMA - PROCESSO FMS Nº 017/2023 - PREGÃO ELETRÔNICO SRPC Nº 019/2023 ARP 128/2023 - ITEM - 118</t>
  </si>
  <si>
    <t>PREFEITURA DE TORITAMA - PROCESSO FMS Nº 017/2023 - PREGÃO ELETRÔNICO SRPC Nº 019/2023 ARP 128/2023 - ITEM - 129</t>
  </si>
  <si>
    <t>PREFEITURA DE TORITAMA - PROCESSO FMS Nº 017/2023 - PREGÃO ELETRÔNICO SRPC Nº 019/2023 ARP 128/2023 - ITEM - 143</t>
  </si>
  <si>
    <t>PREFEITURA DE TORITAMA - PROCESSO FMS Nº 017/2023 - PREGÃO ELETRÔNICO SRPC Nº 019/2023 ARP 128/2023 - ITEM - 144</t>
  </si>
  <si>
    <t>PREFEITURA DE TORITAMA - PROCESSO FMS Nº 017/2023 - PREGÃO ELETRÔNICO SRPC Nº 019/2023 ARP 128/2023 - ITEM - 145</t>
  </si>
  <si>
    <t>PREFEITURA DE TORITAMA - PROCESSO FMS Nº 017/2023 - PREGÃO ELETRÔNICO SRPC Nº 019/2023 ARP 128/2023 - ITEM - 146</t>
  </si>
  <si>
    <t>PREFEITURA DE TORITAMA - PROCESSO FMS Nº 017/2023 - PREGÃO ELETRÔNICO SRPC Nº 019/2023 ARP 128/2023 - ITEM - 152</t>
  </si>
  <si>
    <t>PREFEITURA DE TORITAMA - PROCESSO FMS Nº 017/2023 - PREGÃO ELETRÔNICO SRPC Nº 019/2023 ARP 128/2023 - ITEM - 153</t>
  </si>
  <si>
    <t>PREFEITURA DE TORITAMA - PROCESSO FMS Nº 017/2023 - PREGÃO ELETRÔNICO SRPC Nº 019/2023 ARP 128/2023 - ITEM - 159</t>
  </si>
  <si>
    <t>PREFEITURA DE TORITAMA - PROCESSO FMS Nº 017/2023 - PREGÃO ELETRÔNICO SRPC Nº 019/2023 ARP 128/2023 - ITEM - 160</t>
  </si>
  <si>
    <t>PREFEITURA DE TORITAMA - PROCESSO FMS Nº 017/2023 - PREGÃO ELETRÔNICO SRPC Nº 019/2023 ARP 128/2023 - ITEM - 163</t>
  </si>
  <si>
    <t>PREFEITURA DE TORITAMA - PROCESSO FMS Nº 017/2023 - PREGÃO ELETRÔNICO SRPC Nº 019/2023 ARP 128/2023 - ITEM - 164</t>
  </si>
  <si>
    <t>PREFEITURA DE TORITAMA - PROCESSO FMS Nº 017/2023 - PREGÃO ELETRÔNICO SRPC Nº 019/2023 ARP 128/2023 - ITEM - 165</t>
  </si>
  <si>
    <t>PREFEITURA DE TORITAMA - PROCESSO FMS Nº 017/2023 - PREGÃO ELETRÔNICO SRPC Nº 019/2023 ARP 128/2023 - ITEM - 167</t>
  </si>
  <si>
    <t>PREFEITURA DE TORITAMA - PROCESSO FMS Nº 017/2023 - PREGÃO ELETRÔNICO SRPC Nº 019/2023 ARP 128/2023 - ITEM - 170</t>
  </si>
  <si>
    <t>PREFEITURA DE TORITAMA - PROCESSO FMS Nº 017/2023 - PREGÃO ELETRÔNICO SRPC Nº 019/2023 ARP 128/2023 - ITEM - 171</t>
  </si>
  <si>
    <t>PREFEITURA DE TORITAMA - PROCESSO FMS Nº 017/2023 - PREGÃO ELETRÔNICO SRPC Nº 019/2023 ARP 128/2023 - ITEM - 176</t>
  </si>
  <si>
    <t>PREFEITURA DE TORITAMA - PROCESSO FMS Nº 017/2023 - PREGÃO ELETRÔNICO SRPC Nº 019/2023 ARP 128/2023 - ITEM - 182</t>
  </si>
  <si>
    <t>PREFEITURA DE TORITAMA - PROCESSO FMS Nº 017/2023 - PREGÃO ELETRÔNICO SRPC Nº 019/2023 ARP 128/2023 - ITEM - 183</t>
  </si>
  <si>
    <t>PREFEITURA DE TORITAMA - PROCESSO FMS Nº 017/2023 - PREGÃO ELETRÔNICO SRPC Nº 019/2023 ARP 128/2023 - ITEM - 197</t>
  </si>
  <si>
    <t>PREFEITURA DE TORITAMA - PROCESSO FMS Nº 017/2023 - PREGÃO ELETRÔNICO SRPC Nº 019/2023 ARP 128/2023 - ITEM - 199</t>
  </si>
  <si>
    <t>PREFEITURA DE TORITAMA - PROCESSO FMS Nº 017/2023 - PREGÃO ELETRÔNICO SRPC Nº 019/2023 ARP 128/2023 - ITEM - 206</t>
  </si>
  <si>
    <t>PREFEITURA DE TORITAMA - PROCESSO FMS Nº 017/2023 - PREGÃO ELETRÔNICO SRPC Nº 019/2023 ARP 128/2023 - ITEM - 207</t>
  </si>
  <si>
    <t>PREFEITURA DE TORITAMA - PROCESSO FMS Nº 017/2023 - PREGÃO ELETRÔNICO SRPC Nº 019/2023 ARP 128/2023 - ITEM - 228</t>
  </si>
  <si>
    <t>PREFEITURA DE TORITAMA - PROCESSO FMS Nº 017/2023 - PREGÃO ELETRÔNICO SRPC Nº 019/2023 ARP 128/2023 - ITEM - 236</t>
  </si>
  <si>
    <t>PREFEITURA DE TORITAMA - PROCESSO FMS Nº 017/2023 - PREGÃO ELETRÔNICO SRPC Nº 019/2023 ARP 128/2023 - ITEM - 240</t>
  </si>
  <si>
    <t>PREFEITURA DE TORITAMA - PROCESSO FMS Nº 017/2023 - PREGÃO ELETRÔNICO SRPC Nº 019/2023 ARP 128/2023 - ITEM - 241</t>
  </si>
  <si>
    <t>PREFEITURA DE TORITAMA - PROCESSO FMS Nº 017/2023 - PREGÃO ELETRÔNICO SRPC Nº 019/2023 ARP 128/2023 - ITEM - 244</t>
  </si>
  <si>
    <t>PREFEITURA DE TORITAMA - PROCESSO FMS Nº 017/2023 - PREGÃO ELETRÔNICO SRPC Nº 019/2023 ARP 128/2023 - ITEM - 245</t>
  </si>
  <si>
    <t>PREFEITURA DE TORITAMA - PROCESSO FMS Nº 017/2023 - PREGÃO ELETRÔNICO SRPC Nº 019/2023 ARP 128/2023 - ITEM - 246</t>
  </si>
  <si>
    <t>PREFEITURA DE TORITAMA - PROCESSO FMS Nº 017/2023 - PREGÃO ELETRÔNICO SRPC Nº 019/2023 ARP 128/2023 - ITEM - 247</t>
  </si>
  <si>
    <t>PREFEITURA DE TORITAMA - PROCESSO FMS Nº 017/2023 - PREGÃO ELETRÔNICO SRPC Nº 019/2023 ARP 128/2023 - ITEM - 249</t>
  </si>
  <si>
    <t>PREFEITURA DE TORITAMA - PROCESSO FMS Nº 017/2023 - PREGÃO ELETRÔNICO SRPC Nº 019/2023 ARP 128/2023 - ITEM - 250</t>
  </si>
  <si>
    <t>PREFEITURA DE TORITAMA - PROCESSO FMS Nº 017/2023 - PREGÃO ELETRÔNICO SRPC Nº 019/2023 ARP 128/2023 - ITEM - 251</t>
  </si>
  <si>
    <t>PREFEITURA DE TORITAMA - PROCESSO FMS Nº 017/2023 - PREGÃO ELETRÔNICO SRPC Nº 019/2023 ARP 128/2023 - ITEM - 253</t>
  </si>
  <si>
    <t>PREFEITURA DE TORITAMA - PROCESSO FMS Nº 017/2023 - PREGÃO ELETRÔNICO SRPC Nº 019/2023 ARP 128/2023 - ITEM - 254</t>
  </si>
  <si>
    <t>PREFEITURA DE TORITAMA - PROCESSO FMS Nº 017/2023 - PREGÃO ELETRÔNICO SRPC Nº 019/2023 ARP 128/2023 - ITEM - 255</t>
  </si>
  <si>
    <t>PREFEITURA DE TORITAMA - PROCESSO FMS Nº 017/2023 - PREGÃO ELETRÔNICO SRPC Nº 019/2023 ARP 128/2023 - ITEM - 256</t>
  </si>
  <si>
    <t>PREFEITURA DE TORITAMA - PROCESSO FMS Nº 017/2023 - PREGÃO ELETRÔNICO SRPC Nº 019/2023 ARP 128/2023 - ITEM - 257</t>
  </si>
  <si>
    <t>PREFEITURA DE TORITAMA - PROCESSO FMS Nº 017/2023 - PREGÃO ELETRÔNICO SRPC Nº 019/2023 ARP 128/2023 - ITEM - 286</t>
  </si>
  <si>
    <t>PREFEITURA DE TORITAMA - PROCESSO FMS Nº 017/2023 - PREGÃO ELETRÔNICO SRPC Nº 019/2023 ARP 128/2023 - ITEM - 287</t>
  </si>
  <si>
    <t>PREFEITURA DE TORITAMA - PROCESSO FMS Nº 017/2023 - PREGÃO ELETRÔNICO SRPC Nº 019/2023 ARP 128/2023 - ITEM - 290</t>
  </si>
  <si>
    <t>PREFEITURA DE TORITAMA - PROCESSO FMS Nº 017/2023 - PREGÃO ELETRÔNICO SRPC Nº 019/2023 ARP 128/2023 - ITEM - 305</t>
  </si>
  <si>
    <t>PREFEITURA DE TORITAMA - PROCESSO FMS Nº 017/2023 - PREGÃO ELETRÔNICO SRPC Nº 019/2023 ARP 128/2023 - ITEM - 306</t>
  </si>
  <si>
    <t>PREFEITURA DE TORITAMA - PROCESSO FMS Nº 017/2023 - PREGÃO ELETRÔNICO SRPC Nº 019/2023 ARP 128/2023 - ITEM - 308</t>
  </si>
  <si>
    <t>PREFEITURA DE TORITAMA - PROCESSO FMS Nº 017/2023 - PREGÃO ELETRÔNICO SRPC Nº 019/2023 ARP 129/2023 - ITEM - 16</t>
  </si>
  <si>
    <t>PREFEITURA DE TORITAMA - PROCESSO FMS Nº 017/2023 - PREGÃO ELETRÔNICO SRPC Nº 019/2023 ARP 130/2023 - ITEM - 120</t>
  </si>
  <si>
    <t>PREFEITURA DE TORITAMA - PROCESSO FMS Nº 017/2023 - PREGÃO ELETRÔNICO SRPC Nº 019/2023 ARP 131/2023 - ITEM - 49</t>
  </si>
  <si>
    <t>PREFEITURA DE TORITAMA - PROCESSO FMS Nº 017/2023 - PREGÃO ELETRÔNICO SRPC Nº 019/2023 ARP 131/2023 - ITEM - 50</t>
  </si>
  <si>
    <t>PREFEITURA DE TORITAMA - PROCESSO FMS Nº 017/2023 - PREGÃO ELETRÔNICO SRPC Nº 019/2023 ARP 131/2023 - ITEM - 51</t>
  </si>
  <si>
    <t>PREFEITURA DE TORITAMA - PROCESSO FMS Nº 017/2023 - PREGÃO ELETRÔNICO SRPC Nº 019/2023 ARP 132/2023 - ITEM - 13</t>
  </si>
  <si>
    <t>PREFEITURA DE TORITAMA - PROCESSO FMS Nº 017/2023 - PREGÃO ELETRÔNICO SRPC Nº 019/2023 ARP 132/2023 - ITEM - 39</t>
  </si>
  <si>
    <t>PREFEITURA DE TORITAMA - PROCESSO FMS Nº 017/2023 - PREGÃO ELETRÔNICO SRPC Nº 019/2023 ARP 132/2023 - ITEM - 40</t>
  </si>
  <si>
    <t>PREFEITURA DE TORITAMA - PROCESSO FMS Nº 017/2023 - PREGÃO ELETRÔNICO SRPC Nº 019/2023 ARP 132/2023 - ITEM - 64</t>
  </si>
  <si>
    <t>PREFEITURA DE TORITAMA - PROCESSO FMS Nº 017/2023 - PREGÃO ELETRÔNICO SRPC Nº 019/2023 ARP 132/2023 - ITEM - 76</t>
  </si>
  <si>
    <t>PREFEITURA DE TORITAMA - PROCESSO FMS Nº 017/2023 - PREGÃO ELETRÔNICO SRPC Nº 019/2023 ARP 132/2023 - ITEM - 147</t>
  </si>
  <si>
    <t>PREFEITURA DE TORITAMA - PROCESSO FMS Nº 017/2023 - PREGÃO ELETRÔNICO SRPC Nº 019/2023 ARP 132/2023 - ITEM - 149</t>
  </si>
  <si>
    <t>PREFEITURA DE TORITAMA - PROCESSO FMS Nº 017/2023 - PREGÃO ELETRÔNICO SRPC Nº 019/2023 ARP 132/2023 - ITEM - 168</t>
  </si>
  <si>
    <t>PREFEITURA DE TORITAMA - PROCESSO FMS Nº 017/2023 - PREGÃO ELETRÔNICO SRPC Nº 019/2023 ARP 132/2023 - ITEM - 184</t>
  </si>
  <si>
    <t>PREFEITURA DE TORITAMA - PROCESSO FMS Nº 017/2023 - PREGÃO ELETRÔNICO SRPC Nº 019/2023 ARP 132/2023 - ITEM - 185</t>
  </si>
  <si>
    <t>PREFEITURA DE TORITAMA - PROCESSO FMS Nº 017/2023 - PREGÃO ELETRÔNICO SRPC Nº 019/2023 ARP 132/2023 - ITEM - 186</t>
  </si>
  <si>
    <t>PREFEITURA DE TORITAMA - PROCESSO FMS Nº 017/2023 - PREGÃO ELETRÔNICO SRPC Nº 019/2023 ARP 132/2023 - ITEM - 187</t>
  </si>
  <si>
    <t>PREFEITURA DE TORITAMA - PROCESSO FMS Nº 017/2023 - PREGÃO ELETRÔNICO SRPC Nº 019/2023 ARP 132/2023 - ITEM - 189</t>
  </si>
  <si>
    <t>PREFEITURA DE TORITAMA - PROCESSO FMS Nº 017/2023 - PREGÃO ELETRÔNICO SRPC Nº 019/2023 ARP 132/2023 - ITEM - 190</t>
  </si>
  <si>
    <t>PREFEITURA DE TORITAMA - PROCESSO FMS Nº 017/2023 - PREGÃO ELETRÔNICO SRPC Nº 019/2023 ARP 132/2023 - ITEM - 203</t>
  </si>
  <si>
    <t>PREFEITURA DE TORITAMA - PROCESSO FMS Nº 017/2023 - PREGÃO ELETRÔNICO SRPC Nº 019/2023 ARP 132/2023 - ITEM - 204</t>
  </si>
  <si>
    <t>PREFEITURA DE TORITAMA - PROCESSO FMS Nº 017/2023 - PREGÃO ELETRÔNICO SRPC Nº 019/2023 ARP 132/2023 - ITEM - 205</t>
  </si>
  <si>
    <t>PREFEITURA DE TORITAMA - PROCESSO FMS Nº 017/2023 - PREGÃO ELETRÔNICO SRPC Nº 019/2023 ARP 132/2023 - ITEM - 252</t>
  </si>
  <si>
    <t>PREFEITURA DE TORITAMA - PROCESSO FMS Nº 017/2023 - PREGÃO ELETRÔNICO SRPC Nº 019/2023 ARP 132/2023 - ITEM - 258</t>
  </si>
  <si>
    <t>PREFEITURA DE TORITAMA - PROCESSO FMS Nº 017/2023 - PREGÃO ELETRÔNICO SRPC Nº 019/2023 ARP 132/2023 - ITEM - 259</t>
  </si>
  <si>
    <t>PREFEITURA DE TORITAMA - PROCESSO FMS Nº 017/2023 - PREGÃO ELETRÔNICO SRPC Nº 019/2023 ARP 132/2023 - ITEM - 260</t>
  </si>
  <si>
    <t>PREFEITURA DE TORITAMA - PROCESSO FMS Nº 017/2023 - PREGÃO ELETRÔNICO SRPC Nº 019/2023 ARP 132/2023 - ITEM - 261</t>
  </si>
  <si>
    <t>PREFEITURA DE TORITAMA - PROCESSO FMS Nº 017/2023 - PREGÃO ELETRÔNICO SRPC Nº 019/2023 ARP 132/2023 - ITEM - 262</t>
  </si>
  <si>
    <t>PREFEITURA DE TORITAMA - PROCESSO FMS Nº 017/2023 - PREGÃO ELETRÔNICO SRPC Nº 019/2023 ARP 132/2023 - ITEM - 263</t>
  </si>
  <si>
    <t>PREFEITURA DE TORITAMA - PROCESSO FMS Nº 017/2023 - PREGÃO ELETRÔNICO SRPC Nº 019/2023 ARP 132/2023 - ITEM - 264</t>
  </si>
  <si>
    <t>PREFEITURA DE TORITAMA - PROCESSO FMS Nº 017/2023 - PREGÃO ELETRÔNICO SRPC Nº 019/2023 ARP 132/2023 - ITEM - 265</t>
  </si>
  <si>
    <t>PREFEITURA DE TORITAMA - PROCESSO FMS Nº 017/2023 - PREGÃO ELETRÔNICO SRPC Nº 019/2023 ARP 132/2023 - ITEM - 266</t>
  </si>
  <si>
    <t>PREFEITURA DE TORITAMA - PROCESSO FMS Nº 017/2023 - PREGÃO ELETRÔNICO SRPC Nº 019/2023 ARP 132/2023 - ITEM - 267</t>
  </si>
  <si>
    <t>PREFEITURA DE TORITAMA - PROCESSO FMS Nº 017/2023 - PREGÃO ELETRÔNICO SRPC Nº 019/2023 ARP 132/2023 - ITEM - 268</t>
  </si>
  <si>
    <t>PREFEITURA DE TORITAMA - PROCESSO FMS Nº 017/2023 - PREGÃO ELETRÔNICO SRPC Nº 019/2023 ARP 132/2023 - ITEM - 270</t>
  </si>
  <si>
    <t>PREFEITURA DE TORITAMA - PROCESSO FMS Nº 017/2023 - PREGÃO ELETRÔNICO SRPC Nº 019/2023 ARP 132/2023 - ITEM - 271</t>
  </si>
  <si>
    <t>PREFEITURA DE TORITAMA - PROCESSO FMS Nº 017/2023 - PREGÃO ELETRÔNICO SRPC Nº 019/2023 ARP 132/2023 - ITEM - 272</t>
  </si>
  <si>
    <t>PREFEITURA DE TORITAMA - PROCESSO FMS Nº 017/2023 - PREGÃO ELETRÔNICO SRPC Nº 019/2023 ARP 132/2023 - ITEM - 273</t>
  </si>
  <si>
    <t>PREFEITURA DE TORITAMA - PROCESSO FMS Nº 017/2023 - PREGÃO ELETRÔNICO SRPC Nº 019/2023 ARP 132/2023 - ITEM - 274</t>
  </si>
  <si>
    <t>PREFEITURA DE TORITAMA - PROCESSO FMS Nº 017/2023 - PREGÃO ELETRÔNICO SRPC Nº 019/2023 ARP 132/2023 - ITEM - 275</t>
  </si>
  <si>
    <t>PREFEITURA DE TORITAMA - PROCESSO FMS Nº 017/2023 - PREGÃO ELETRÔNICO SRPC Nº 019/2023 ARP 132/2023 - ITEM - 276</t>
  </si>
  <si>
    <t>PREFEITURA DE TORITAMA - PROCESSO FMS Nº 017/2023 - PREGÃO ELETRÔNICO SRPC Nº 019/2023 ARP 132/2023 - ITEM - 277</t>
  </si>
  <si>
    <t>PREFEITURA DE TORITAMA - PROCESSO FMS Nº 017/2023 - PREGÃO ELETRÔNICO SRPC Nº 019/2023 ARP 132/2023 - ITEM - 278</t>
  </si>
  <si>
    <t>PREFEITURA DE TORITAMA - PROCESSO FMS Nº 017/2023 - PREGÃO ELETRÔNICO SRPC Nº 019/2023 ARP 132/2023 - ITEM - 279</t>
  </si>
  <si>
    <t>PREFEITURA DE TORITAMA - PROCESSO FMS Nº 017/2023 - PREGÃO ELETRÔNICO SRPC Nº 019/2023 ARP 132/2023 - ITEM - 282</t>
  </si>
  <si>
    <t>PREFEITURA DE TORITAMA - PROCESSO FMS Nº 017/2023 - PREGÃO ELETRÔNICO SRPC Nº 019/2023 ARP 132/2023 - ITEM - 283</t>
  </si>
  <si>
    <t>PREFEITURA DE TORITAMA - PROCESSO FMS Nº 017/2023 - PREGÃO ELETRÔNICO SRPC Nº 019/2023 ARP 132/2023 - ITEM - 284</t>
  </si>
  <si>
    <t>PREFEITURA DE TORITAMA - PROCESSO FMS Nº 017/2023 - PREGÃO ELETRÔNICO SRPC Nº 019/2023 ARP 132/2023 - ITEM - 285</t>
  </si>
  <si>
    <t>PREFEITURA DE TORITAMA - PROCESSO FMS Nº 017/2023 - PREGÃO ELETRÔNICO SRPC Nº 019/2023 ARP 132/2023 - ITEM - 288</t>
  </si>
  <si>
    <t>PREFEITURA DE TORITAMA - PROCESSO FMS Nº 017/2023 - PREGÃO ELETRÔNICO SRPC Nº 019/2023 ARP 132/2023 - ITEM - 289</t>
  </si>
  <si>
    <t>PREFEITURA DE TORITAMA - PROCESSO FMS Nº 017/2023 - PREGÃO ELETRÔNICO SRPC Nº 019/2023 ARP 132/2023 - ITEM - 291</t>
  </si>
  <si>
    <t>PREFEITURA DE TORITAMA - PROCESSO FMS Nº 017/2023 - PREGÃO ELETRÔNICO SRPC Nº 019/2023 ARP 132/2023 - ITEM - 292</t>
  </si>
  <si>
    <t>PREFEITURA DE TORITAMA - PROCESSO FMS Nº 017/2023 - PREGÃO ELETRÔNICO SRPC Nº 019/2023 ARP 133/2023 - ITEM - 42</t>
  </si>
  <si>
    <t>PREFEITURA DE TORITAMA - PROCESSO FMS Nº 017/2023 - PREGÃO ELETRÔNICO SRPC Nº 019/2023 ARP 134/2023 - ITEM - 18</t>
  </si>
  <si>
    <t>PREFEITURA DE TORITAMA - PROCESSO FMS Nº 017/2023 - PREGÃO ELETRÔNICO SRPC Nº 019/2023 ARP 135/2023 - ITEM - 3</t>
  </si>
  <si>
    <t>SUPRAMED</t>
  </si>
  <si>
    <t>AMAZON MED</t>
  </si>
  <si>
    <t>GRUPO ELFA</t>
  </si>
  <si>
    <t>BASE DE APOIO</t>
  </si>
  <si>
    <t>ESSENCIA BRASILEIRA</t>
  </si>
  <si>
    <t xml:space="preserve">CSH </t>
  </si>
  <si>
    <t>MAGAZINE MEDICA</t>
  </si>
  <si>
    <t>VIAS AÉREAS</t>
  </si>
  <si>
    <t>SIENO</t>
  </si>
  <si>
    <t>MEDICAL SUL</t>
  </si>
  <si>
    <t>CIRURGICA SALUTAR</t>
  </si>
  <si>
    <t>BR CIRURGICA</t>
  </si>
  <si>
    <t>VIA MED CIRURGICA</t>
  </si>
  <si>
    <t>MAXIMO LAB</t>
  </si>
  <si>
    <t>DROGARIA POPULAR</t>
  </si>
  <si>
    <t>CMW SAUDE</t>
  </si>
  <si>
    <t>AMAZON</t>
  </si>
  <si>
    <t>DAFMED</t>
  </si>
  <si>
    <t>ATACADÃO</t>
  </si>
  <si>
    <t>ARAUJO DROGARIA</t>
  </si>
  <si>
    <t>DROGA FUJI</t>
  </si>
  <si>
    <t>MAGAZINE LUIZA</t>
  </si>
  <si>
    <t>EXTRA FARMA</t>
  </si>
  <si>
    <t>CIRURGICA STORE</t>
  </si>
  <si>
    <t>DROGARIA SÃO PAULO</t>
  </si>
  <si>
    <t>COPAMAR FRALDAS</t>
  </si>
  <si>
    <t>BIGFRAL</t>
  </si>
  <si>
    <t>TEX PHARMA</t>
  </si>
  <si>
    <t>PONTO HOSPITALAR</t>
  </si>
  <si>
    <t>AMSANTOS SAUDE</t>
  </si>
  <si>
    <t>CENTERCOR HOSPITALAR</t>
  </si>
  <si>
    <t>MC MEDICALL</t>
  </si>
  <si>
    <t>LOJA LAB</t>
  </si>
  <si>
    <t>ORTOVET</t>
  </si>
  <si>
    <t>CASA DO ROADIE</t>
  </si>
  <si>
    <t>CIRURGICA ULTRA,MED</t>
  </si>
  <si>
    <t>FOR LAB</t>
  </si>
  <si>
    <t>GUIMED</t>
  </si>
  <si>
    <t>MEDICALL</t>
  </si>
  <si>
    <t>SUTURBRAS</t>
  </si>
  <si>
    <t>AFFIAR</t>
  </si>
  <si>
    <t>CIRURGICA ULTRAMED</t>
  </si>
  <si>
    <t>DENTAL PASANE</t>
  </si>
  <si>
    <t>PRO-ANALISE</t>
  </si>
  <si>
    <t>LAB IMPORT</t>
  </si>
  <si>
    <t>CPAP FIT</t>
  </si>
  <si>
    <t>VIP HOSPITALAR</t>
  </si>
  <si>
    <t>SUPER SAUDAVEL</t>
  </si>
  <si>
    <t>MED CORSI</t>
  </si>
  <si>
    <t>CIRUPAR</t>
  </si>
  <si>
    <t>MACONEQUI</t>
  </si>
  <si>
    <t>LOGAN MED</t>
  </si>
  <si>
    <t>MEDBIT</t>
  </si>
  <si>
    <t>SINETE CIRURGICA</t>
  </si>
  <si>
    <t>DISLAB PARANA</t>
  </si>
  <si>
    <t>ULTRA FARMA</t>
  </si>
  <si>
    <t>OMENA MED</t>
  </si>
  <si>
    <t>FARCAN</t>
  </si>
  <si>
    <t xml:space="preserve">DNAC </t>
  </si>
  <si>
    <t>ZAP MEDICA</t>
  </si>
  <si>
    <t>QUIMICENTER</t>
  </si>
  <si>
    <t>BIO SYNESIS</t>
  </si>
  <si>
    <t>CIRURGICA ULTRA MED</t>
  </si>
  <si>
    <r>
      <rPr>
        <b/>
        <sz val="10"/>
        <color rgb="FF000000"/>
        <rFont val="Arial Narrow"/>
        <family val="2"/>
      </rPr>
      <t>Luva para procedimento com pó, tamanho: pequeno,</t>
    </r>
    <r>
      <rPr>
        <sz val="10"/>
        <color rgb="FF000000"/>
        <rFont val="Arial Narrow"/>
        <family val="2"/>
      </rPr>
      <t xml:space="preserve">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t>
    </r>
  </si>
  <si>
    <r>
      <rPr>
        <b/>
        <sz val="10"/>
        <color rgb="FF000000"/>
        <rFont val="Arial Narrow"/>
        <family val="2"/>
      </rPr>
      <t xml:space="preserve">Luva para procedimento com pó - </t>
    </r>
    <r>
      <rPr>
        <sz val="10"/>
        <color rgb="FF000000"/>
        <rFont val="Arial Narrow"/>
        <family val="2"/>
      </rPr>
      <t>tamanho: médio</t>
    </r>
    <r>
      <rPr>
        <b/>
        <sz val="10"/>
        <color rgb="FF000000"/>
        <rFont val="Arial Narrow"/>
        <family val="2"/>
      </rPr>
      <t>,</t>
    </r>
    <r>
      <rPr>
        <sz val="10"/>
        <color rgb="FF000000"/>
        <rFont val="Arial Narrow"/>
        <family val="2"/>
      </rPr>
      <t xml:space="preserve">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t>
    </r>
  </si>
  <si>
    <r>
      <rPr>
        <b/>
        <sz val="10"/>
        <color rgb="FF000000"/>
        <rFont val="Arial Narrow"/>
        <family val="2"/>
      </rPr>
      <t>Luva para procedimento com pó -</t>
    </r>
    <r>
      <rPr>
        <sz val="10"/>
        <color rgb="FF000000"/>
        <rFont val="Arial Narrow"/>
        <family val="2"/>
      </rPr>
      <t xml:space="preserve"> tamanho: grande,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t>
    </r>
  </si>
  <si>
    <t>AMERICANAS</t>
  </si>
  <si>
    <t>DERMAFAST</t>
  </si>
  <si>
    <t>BRAVO LUZ</t>
  </si>
  <si>
    <t>LOJA TEXPHARMA</t>
  </si>
  <si>
    <t>LOJA DO MECANICO</t>
  </si>
  <si>
    <t>CIRURGICA MARENGO</t>
  </si>
  <si>
    <t>DISTRIBUIDORA SENSITIVE</t>
  </si>
  <si>
    <t>MEDICAL RL</t>
  </si>
  <si>
    <t>DIGITISUL</t>
  </si>
  <si>
    <t>LAZERSHOP</t>
  </si>
  <si>
    <t>CENTRAL DO APLICADOR</t>
  </si>
  <si>
    <t>MPS COMERCIAL</t>
  </si>
  <si>
    <t>ASTRO DISTRIBUIDORA</t>
  </si>
  <si>
    <t>MULT VARIEDADES</t>
  </si>
  <si>
    <t>SOLUCEG</t>
  </si>
  <si>
    <t>SUPER EP</t>
  </si>
  <si>
    <t>MEDSYSTEM</t>
  </si>
  <si>
    <t>BISTURI MATERIAL HOSPITALAR</t>
  </si>
  <si>
    <t>CIRURGIA SALUTAR</t>
  </si>
  <si>
    <t>BISTURI MATERIAL HOSPITLAR</t>
  </si>
  <si>
    <t>ENDOCOMMERCE</t>
  </si>
  <si>
    <t>PROLAB</t>
  </si>
  <si>
    <t>SHOPPING PROHOSPITAL</t>
  </si>
  <si>
    <t>BISTURI  MATERIAL HOSPITALAR</t>
  </si>
  <si>
    <t>GRUPOKOLPLAST</t>
  </si>
  <si>
    <t xml:space="preserve">MAGAZINE MEDICA </t>
  </si>
  <si>
    <t>UTILIDADES CLINICAS</t>
  </si>
  <si>
    <t>DENTAL VIDAFARMA</t>
  </si>
  <si>
    <t>ADRIANA LABORATORIOS</t>
  </si>
  <si>
    <t>MEDICAL SHOPPING</t>
  </si>
  <si>
    <t>CIRURGICA VIDA E SAUDE</t>
  </si>
  <si>
    <t>SANTA APOLONIA HOSPITALAR</t>
  </si>
  <si>
    <t>LOJA NEL.LAB</t>
  </si>
  <si>
    <t>ADRIA LABORATORIOS</t>
  </si>
  <si>
    <t>TECNOMED</t>
  </si>
  <si>
    <t>RHOSS PRODUTOS MEDICOS</t>
  </si>
  <si>
    <t>SAUDESHOP</t>
  </si>
  <si>
    <t>GENERALMED</t>
  </si>
  <si>
    <t>DERMOMED HOSPITALAR</t>
  </si>
  <si>
    <t>LE-LABCOMMERCE</t>
  </si>
  <si>
    <t>CF CARE HOSPITALAR</t>
  </si>
  <si>
    <t>CIRURGIA SINETE</t>
  </si>
  <si>
    <t xml:space="preserve">UTILIDADES CLINICAS </t>
  </si>
  <si>
    <t>CIRURGIASINETE</t>
  </si>
  <si>
    <t>RIO MEDICAL EXPRESS</t>
  </si>
  <si>
    <t>HOSPITALAR EPI</t>
  </si>
  <si>
    <t>DROGASIL</t>
  </si>
  <si>
    <t>OTIMA DISTRIBUIDORA</t>
  </si>
  <si>
    <t>CIRURGICA MEDICALPHARMA</t>
  </si>
  <si>
    <t>SANTA APOLONIA</t>
  </si>
  <si>
    <t>LOJA NET LAB</t>
  </si>
  <si>
    <t>LOJA HOSPITALAR</t>
  </si>
  <si>
    <t xml:space="preserve"> MED ALPHA</t>
  </si>
  <si>
    <t>ISP SAUDE</t>
  </si>
  <si>
    <t>CIRURGICA DOUTOR MED</t>
  </si>
  <si>
    <t>DENTALSUL</t>
  </si>
  <si>
    <t>LUMILABOR</t>
  </si>
  <si>
    <t>HOSPINET</t>
  </si>
  <si>
    <t>FARMABEM</t>
  </si>
  <si>
    <t>MARCAMEDICA</t>
  </si>
  <si>
    <t>SAUDE QUICK SHOP</t>
  </si>
  <si>
    <t>VIDABEM.COM.BR</t>
  </si>
  <si>
    <t>ULTRAFARMA</t>
  </si>
  <si>
    <t>CLINI HOUSE</t>
  </si>
  <si>
    <t>BANCO DE PRECOS</t>
  </si>
  <si>
    <t>PAINEL DE PREÇO</t>
  </si>
  <si>
    <t>MED JET</t>
  </si>
  <si>
    <t>TEX FARMA</t>
  </si>
  <si>
    <t>SPOTSAUDE</t>
  </si>
  <si>
    <t>TEXPHARMA</t>
  </si>
  <si>
    <t>GABMEDC</t>
  </si>
  <si>
    <t>ODONTO EQUIPAMENTOS</t>
  </si>
  <si>
    <t>CIRURGIA SATULAR</t>
  </si>
  <si>
    <t>PM2 MEDICAL</t>
  </si>
  <si>
    <t xml:space="preserve">DENTAL E CIA </t>
  </si>
  <si>
    <t>MAGNUS MED</t>
  </si>
  <si>
    <t xml:space="preserve">MULTI CIRURGICA </t>
  </si>
  <si>
    <t xml:space="preserve">CIRURGICA VIDA E SAUDE </t>
  </si>
  <si>
    <t>CIRURGICA SATULAR</t>
  </si>
  <si>
    <t>IMPERIO HOSPITALAR</t>
  </si>
  <si>
    <t xml:space="preserve">CIRURGICA LUCENA </t>
  </si>
  <si>
    <t xml:space="preserve">MAGAZINE LUIZA </t>
  </si>
  <si>
    <t>FERRAGENS SÃO CARLOS</t>
  </si>
  <si>
    <t xml:space="preserve">SENSOR MEDICAL </t>
  </si>
  <si>
    <t xml:space="preserve">UTILIDADES MEDICAS </t>
  </si>
  <si>
    <t>CIRURGICA SINETE</t>
  </si>
  <si>
    <t xml:space="preserve">ULTILIDADES CLINICAS </t>
  </si>
  <si>
    <t>DENTAL ACCESS</t>
  </si>
  <si>
    <t>CLINIRIO</t>
  </si>
  <si>
    <t xml:space="preserve">AGS MATERIAL HOSPITALAR </t>
  </si>
  <si>
    <t xml:space="preserve">G3 SAUDE HOSPITALAR </t>
  </si>
  <si>
    <t>MAGAZINE  MEDICA</t>
  </si>
  <si>
    <t>MEDICARSHOP</t>
  </si>
  <si>
    <t>MEDICAR SHOP</t>
  </si>
  <si>
    <t>Fralda descartável infantil - TAMANHO P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3,5 a 5 kg. Referência: Pampers, Personalidade Baby, Huggies, Pompom, Mônica, Cremer ou similares.</t>
  </si>
  <si>
    <t>Fralda descartável infantil - TAMANHO M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5 a 10 kg. Referência: Pampers, Personalidade Baby, Huggies, Pompom, Mônica, Cremer ou similares.</t>
  </si>
  <si>
    <t>Fralda descartável infantil - TAMANHO G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10 a 13 kg. Referência: Pampers, Personalidade Baby, Huggies, Pompom, Mônica, Cremer ou similares.</t>
  </si>
  <si>
    <r>
      <t xml:space="preserve">Filme radiológico - </t>
    </r>
    <r>
      <rPr>
        <sz val="10"/>
        <color rgb="FF000000"/>
        <rFont val="Arial Narrow"/>
        <family val="2"/>
      </rPr>
      <t xml:space="preserve">tipo: raio x digital, DI-HT, dimensões: 35x43 cm, aplicação: processamento a seco, características adicionais: caixa com 100 películas, embalagem contendo externamente dados de identificação e procedência, lote, data de fabricação, prazo de validade e registro em órgão competente. Referência: Fujifilm. </t>
    </r>
  </si>
  <si>
    <r>
      <t xml:space="preserve">Filme radiológico - </t>
    </r>
    <r>
      <rPr>
        <sz val="10"/>
        <color rgb="FF000000"/>
        <rFont val="Arial Narrow"/>
        <family val="2"/>
      </rPr>
      <t>tipo: mamografia, dimensões: 25 X 30 cm, aplicação: processamento a seco, características adicionais: caixa com 100 películas,  embalagem contendo externamente dados de identificação e procedência, lote, data de fabricação, prazo de validade e registro em órgão competente. Referência: AGFA.</t>
    </r>
  </si>
  <si>
    <t>Fralda descartável infantil - TAMANHO 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12 a 15 kg   Referência: Pampers, Personalidade Baby, Huggies, Pompom, Mônica, Cremer ou similares.</t>
  </si>
  <si>
    <t>Fralda descartável infantil - TAMANHO EG/XXG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15 a 25 kg   Referência: Pampers, Personalidade Baby, Huggies, Pompom, Mônica, Cremer ou similares.</t>
  </si>
  <si>
    <t>Tubo endotraqueal - tamanho: Nº 2,0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</si>
  <si>
    <t>Tubo endotraqueal - tamanho: Nº 4,5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</si>
  <si>
    <t>Tubo endotraqueal - tamanho: Nº 5,5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</si>
  <si>
    <t>Tubo endotraqueal - tamanho: Nº 6,5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data, tio de esterilização e tempo de validade.</t>
  </si>
  <si>
    <t>Sonda nasogástrica curta -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</si>
  <si>
    <t>Sonda nasogástrica curta - 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</si>
  <si>
    <t>Sonda nasogástrica curta - 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</si>
  <si>
    <t>Sonda nasogástrica curta - 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</si>
  <si>
    <t xml:space="preserve">Histerômetro Estéril Descartável, medidas: 25cm, material: Poliestireno, Especificação: Histerômetro Estéril Descartável, medidas: 25cm, material: Poliestireno.  </t>
  </si>
  <si>
    <t xml:space="preserve">Almotolia Transparente Pinceta Bico Reto 500ML, material: plástico, Especificação:  Almotolia Transparente Pinceta Bico Reto 500ML, material: plástico. </t>
  </si>
  <si>
    <t>Doppler Vascular Portátil para a localização de pulsos arteriais e venosos, Modelo: DV 610B,  Medidas: 4,5 x 8,5 x 18cm, Especificações:: Doppler Vascular Portátil para a localização de pulsos arteriais e venosos,  Medidas: 4,5 x 8,5 x 18cm. Marca referência: MDMEGA ou similar</t>
  </si>
  <si>
    <t>Pinça Hartmann Jacaré  para corpo estranho, Retirada de Diu e Passar Fio, medidas: 20cm, material: aço inoxidável, esterilidade: esterilizável. Especificação: Pinça Hartmann Jacaré  para corpo estranho, Retirada de Diu e Passar Fio, medidas: 20cm, material: aço inoxidável, esterilidade: esterilizável. Referência: Rhosse ou similar.</t>
  </si>
  <si>
    <t>Desfibrilador Externo Automático (DEA) | Easyshock Standard 5800, material: Lítio e Dióxido de Manganês (LI-MnO2), dimensões: A: 254 mm L: 222 mm P: 76 mm, Especificação: Desfibrilador Externo Automático (DEA) | Easyshock Standard 5800. Referência: TOTH ou similar</t>
  </si>
  <si>
    <t>Estesiômetro Individual 10g Laranja Completo, material: descartável; Especificação:Estesiômetro Individual 10g. Especificação: Estesiômetro Individual 10g. Referência: Sorri-Bauru ou similar</t>
  </si>
  <si>
    <t xml:space="preserve">Oto-oftalmoscópio LED; Dimensões do produto (cm): 17,0 x 3,5 x 4,4 cm, Modelo:MD8700 Referência: MD8700. Especificações: Oto-oftalmoscópio LED. Referência: Medicate ou similar
 </t>
  </si>
  <si>
    <t>Lanterna Clínica LED Radiantlite II, Modelo: Radiantlite II, Material:  metal leve, Medidas: 14cm de comprimento e 1,2 cm de diâmetro, Especificações: Lanterna Clínica LED Radiantlite II. Referência: MD ou similar.</t>
  </si>
  <si>
    <t xml:space="preserve">Martelo de Buck, Neurológico Black Edition; Material: PVC e metal pintado; Medidas: 180mm x 58mm, Epecificações: Martelo de Buck, Neurológico Black Edition, medidas: 14cm x 1,2 cm, material PVC e metal pintado. Referência: BIC ou similar
</t>
  </si>
  <si>
    <t>Termômetro Clínico Digital Infravermelho De Testa Sem Contato; Medidas: ‎3,8 x 14,6 x 2,1 cm, Especificações: Termômetro Clínico Digital  Infravermelho De Testa Sem Contato,  Medidas: ‎3,8 x 14,6 x 2,1 cm, cor: azul.  Referência: G-Tech ou similar.</t>
  </si>
  <si>
    <t xml:space="preserve">Cardiotocógrafo digital para monitoramento da frequência cardíaca do feto e as contrações uterinas; Modelo: Platinum - 10.1356, Medidas:  356 mm x 360 mm x 114 mm, Especificações: Cardiotocógrafo digital para monitoramento da frequência cardíaca do feto e as contrações uterinas,  Medidas:  356 mm x 360 mm x 114 mm. Referência: Kolplast ci Ltda ou similar </t>
  </si>
  <si>
    <t>Eletrocardiógrafo (ECG) Computadorizado com Software com 12 derivações simultâneas; Modelo: ECGPC, Medidas:  6x15x20,2 cm, Especificações: Eletrocardiógrafo (ECG) Computadorizado com Software com 12 derivações simultâneas, Medidas:  6x15x20,2 cm. Referência: TEB ou similar</t>
  </si>
  <si>
    <t>Solução corante de ácido acético 1000ML, Concentração: 5%, Forma farmacêutica: Solução, Modelo: Frasco, Especificações: Solução corante de ácido acético 1000ML, Concentração: 5%, Forma farmacêutica: Solução. Referência: Renylab ou similar</t>
  </si>
  <si>
    <t>Solução de Lugol 500ML, Concentração: 5%, Forma farmacêutica: Solução, Modelo: Frasco, Concentração: 5%, Forma farmacêutica: Solução. Marca referência: Laborclin ou referência</t>
  </si>
  <si>
    <t>Foco clínico com iluminação LED e espelho de pedestal para iluminação em diversos procedimentos, Modelo: Foco Clinico com espelho - 10.1212, Especificações: Foco clínico com iluminação LED e espelho de pedestal para iluminação em diversos procedimentos, característica adicional: Cor branco. Referência: Kolpast ou siimilar</t>
  </si>
  <si>
    <t xml:space="preserve">Frasco para Biópsia com tampa, Capacidade: 15 a 23ml, Especificações:  Frasco para Biópsia com tampa,Capacidade: 15 a 23m. Referência: TB ou similar.
</t>
  </si>
  <si>
    <t xml:space="preserve">Ácido tricloroacetico 1000ML, Concentração: 80%, Forma farmacêutica: Solução, </t>
  </si>
  <si>
    <t>Histerômetro Collin, medidas: 23cm, material: Aço Inox 304, esterilidade: esterilizável, Especificações: das: 23cm, material: Aço Inox 304, esterilidade: esterilizável.  Referência: Rhosse ou similar</t>
  </si>
  <si>
    <r>
      <t xml:space="preserve">APARELHO DE SONAR – (DETECTOR FETAL) PORTÁTIL </t>
    </r>
    <r>
      <rPr>
        <sz val="10"/>
        <color theme="1"/>
        <rFont val="Arial Narrow"/>
        <family val="2"/>
      </rPr>
      <t>digital com bateria recarregável, carregador, gabinete e transdutor confeccionado em plástico ABS, 04 (quatro) modos de funcionamento, indicador de batimento cardíaco fetal, saída para fone de ouvido, alojamento para transdutor na lateral do aparelho. Botão liga e desliga. Com registro ANVISA. Garantia mínima de 12 (doze) meses. 
.</t>
    </r>
  </si>
  <si>
    <t>NEGATOSCOPIO - Lâmpada Fluorescente/ 2 Corpos; garantia de 12 meses.</t>
  </si>
  <si>
    <t>ESFIGNOMANOMETRO DIGITAL INFANTIL- Aparelho De Medir Pressão De Braço Digital Elétrico. Referência: G-tech ou similar.</t>
  </si>
  <si>
    <r>
      <rPr>
        <b/>
        <sz val="10"/>
        <color rgb="FF000000"/>
        <rFont val="Arial Narrow"/>
        <family val="2"/>
      </rPr>
      <t xml:space="preserve">Fio de sutura com agulha - </t>
    </r>
    <r>
      <rPr>
        <sz val="10"/>
        <color rgb="FF000000"/>
        <rFont val="Arial Narrow"/>
        <family val="2"/>
      </rPr>
      <t>material: poliglactina 910, tipo fio: 1-0, tipo agulha: 1/2 círculo triangular (CT), comprimento da agulha: 1,5 cm</t>
    </r>
    <r>
      <rPr>
        <sz val="10"/>
        <rFont val="Arial Narrow"/>
        <family val="2"/>
      </rPr>
      <t>, comprimento do fio: 70 cm,</t>
    </r>
    <r>
      <rPr>
        <sz val="10"/>
        <color rgb="FF000000"/>
        <rFont val="Arial Narrow"/>
        <family val="2"/>
      </rPr>
      <t xml:space="preserve"> características adicionais: estéril, absorvível, embalagem com dados de identificação e procedência, nº de lote, data de fabricação e validade, e registro no Ministério da Saúde. </t>
    </r>
  </si>
  <si>
    <r>
      <rPr>
        <b/>
        <sz val="10"/>
        <color rgb="FF000000"/>
        <rFont val="Arial Narrow"/>
        <family val="2"/>
      </rPr>
      <t xml:space="preserve">Tubo endotraqueal - </t>
    </r>
    <r>
      <rPr>
        <sz val="10"/>
        <color rgb="FF000000"/>
        <rFont val="Arial Narrow"/>
        <family val="2"/>
      </rPr>
      <t>tamanho: Nº 4,0, material: pvc,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</si>
  <si>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Tubo endotraqueal -</t>
    </r>
    <r>
      <rPr>
        <sz val="10"/>
        <color rgb="FF000000"/>
        <rFont val="Arial Narrow"/>
        <family val="2"/>
      </rPr>
      <t xml:space="preserve"> tamanho: Nº 5,0,características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</si>
  <si>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 xml:space="preserve">Tubo endotraqueal - </t>
    </r>
    <r>
      <rPr>
        <sz val="10"/>
        <color rgb="FF000000"/>
        <rFont val="Arial Narrow"/>
        <family val="2"/>
      </rPr>
      <t>tamanho: Nº 6,0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</si>
  <si>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Tubo endotraqueal -</t>
    </r>
    <r>
      <rPr>
        <sz val="10"/>
        <color rgb="FF000000"/>
        <rFont val="Arial Narrow"/>
        <family val="2"/>
      </rPr>
      <t xml:space="preserve"> tamanho: Nº 7,5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</si>
  <si>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Tubo endotraqueal -</t>
    </r>
    <r>
      <rPr>
        <sz val="10"/>
        <color rgb="FF000000"/>
        <rFont val="Arial Narrow"/>
        <family val="2"/>
      </rPr>
      <t xml:space="preserve"> tamanho: Nº 8,0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</si>
  <si>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 xml:space="preserve">Tubo endotraqueal - </t>
    </r>
    <r>
      <rPr>
        <sz val="10"/>
        <color rgb="FF000000"/>
        <rFont val="Arial Narrow"/>
        <family val="2"/>
      </rPr>
      <t>tamanho: Nº 8,5</t>
    </r>
    <r>
      <rPr>
        <b/>
        <sz val="10"/>
        <color rgb="FF000000"/>
        <rFont val="Arial Narrow"/>
        <family val="2"/>
      </rPr>
      <t xml:space="preserve"> </t>
    </r>
    <r>
      <rPr>
        <sz val="10"/>
        <color rgb="FF000000"/>
        <rFont val="Arial Narrow"/>
        <family val="2"/>
      </rPr>
      <t>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</si>
  <si>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r>
      <rPr>
        <b/>
        <sz val="10"/>
        <color rgb="FF000000"/>
        <rFont val="Arial Narrow"/>
        <family val="2"/>
      </rPr>
      <t xml:space="preserve">Tubo endotraqueal - </t>
    </r>
    <r>
      <rPr>
        <sz val="10"/>
        <color rgb="FF000000"/>
        <rFont val="Arial Narrow"/>
        <family val="2"/>
      </rPr>
      <t>tamanho: Nº 9,0</t>
    </r>
    <r>
      <rPr>
        <b/>
        <sz val="10"/>
        <color rgb="FF000000"/>
        <rFont val="Arial Narrow"/>
        <family val="2"/>
      </rPr>
      <t xml:space="preserve"> </t>
    </r>
    <r>
      <rPr>
        <sz val="10"/>
        <color rgb="FF000000"/>
        <rFont val="Arial Narrow"/>
        <family val="2"/>
      </rPr>
      <t>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r>
  </si>
  <si>
    <t>Suporte com Base para Cilindro, material: aço, especificações:Suporte com Base para Cilindro, material: aço, 7 a 10 litros. Especificações adicionais: Medida aproximada da circunferência para encaixe do cilindro: 17cm, Medidas aproximadas da base: 22cm x 30cm,Medidas aproximadas do produto: 40cm (A) x 34cm (L) x 38cm (C), Peso aproximado: 3,040 Kg.</t>
  </si>
  <si>
    <t xml:space="preserve">kit mascara lanringea, material: cloreto de polivinila (PVC), descartável, especificações: kit mascara lanringea, material: cloreto de polivinila (PVC), descartável, tamanhos 1 - 1,5 - 2 - 2,5 - 3 - 4 - 5. </t>
  </si>
  <si>
    <t xml:space="preserve">Kit laringoscópio, material: com cabo metálico antiderrapante  e lâminas em aço inoxidável com acabamento fosco, especificações: Kit laringoscópio, material: com cabo metálico antiderrapante  e lâminas em aço inoxidável com acabamento fosco, com 5 lâminas: 4 lâminas curvas Macintosh nº 1, 2, 3, 4
e 1 lâmina reta Miller nº0. </t>
  </si>
  <si>
    <t xml:space="preserve">KIT </t>
  </si>
  <si>
    <t xml:space="preserve">Espéculo vaginal descartável G indicado para a realização de conização, cirurgia de alta frequência ou LEEP, Modelo: Espéculo Vaginal com Ducto Aspirador, Medidas: 11x2,95  Esterilidade: Estéril por Óxido Etileno (ETO), Especificações: Espéculo vaginal descartável indicado para a realização de conização, cirurgia de alta frequência ou LEEP, Medidas 10x2,2,Esterilidade: Estéril por Óxido Etileno (ETO). Referência: Kolpast ou similar  
</t>
  </si>
  <si>
    <t>Pinça cheron  descartavél medidas: 24cm, material: resina de engenharia  para auxilio em exames ginecolócos.</t>
  </si>
  <si>
    <r>
      <rPr>
        <b/>
        <sz val="10"/>
        <color rgb="FF000000"/>
        <rFont val="Arial Narrow"/>
        <family val="2"/>
      </rPr>
      <t>Sonda nasogástrica longa -</t>
    </r>
    <r>
      <rPr>
        <sz val="10"/>
        <color rgb="FF000000"/>
        <rFont val="Arial Narrow"/>
        <family val="2"/>
      </rPr>
      <t xml:space="preserve"> tamanho: Nº 06,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t>
    </r>
  </si>
  <si>
    <t>UTILIDADES CLINCAS</t>
  </si>
  <si>
    <t>TELEDIU</t>
  </si>
  <si>
    <t>DIGITAL HOSPITALAR</t>
  </si>
  <si>
    <t>VIVAZ COSMETICOS</t>
  </si>
  <si>
    <t>MEDICATE</t>
  </si>
  <si>
    <t>RHOSS</t>
  </si>
  <si>
    <t>SAUDE QUICKSHOP</t>
  </si>
  <si>
    <t>FORT MEDICAL</t>
  </si>
  <si>
    <t>SINALIZA MAIS</t>
  </si>
  <si>
    <t>INNOVA MEDICINA</t>
  </si>
  <si>
    <t>50+ SAUDE</t>
  </si>
  <si>
    <t>MEDPEJ</t>
  </si>
  <si>
    <t>BUYVET</t>
  </si>
  <si>
    <t>PALMIPENOVA MEDTEC</t>
  </si>
  <si>
    <t>ACS REAGENTES</t>
  </si>
  <si>
    <t>QUIMISUL SC</t>
  </si>
  <si>
    <t>MM COMERCIO</t>
  </si>
  <si>
    <t>ACS REAGENTE</t>
  </si>
  <si>
    <t>ANHANGUERA FERRAMENTAS</t>
  </si>
  <si>
    <t>SALUTEM HOSPITALARES</t>
  </si>
  <si>
    <t>CORCENTER</t>
  </si>
  <si>
    <t>OXILAPA</t>
  </si>
  <si>
    <t>SAFE TECH</t>
  </si>
  <si>
    <t>Pinça Professor Medina para biópsia uterina, medidas: 24cm, material: aço inoxidável, esterilidade: esterilizável. Diâmetro da boca: 4mm. Especificação: Professor Medina para biópsia uterina, medidas: 24cm, material: aço inoxidável,, esterilidade: esterilizável. Referência: Rhosse ou similar.</t>
  </si>
  <si>
    <t>CASAS BAHIA</t>
  </si>
  <si>
    <t>PREFEITURA DE TORITAMA - PROCESSO FMS Nº 017/2023 - PREGÃO ELETRÔNICO SRPC Nº 019/2023 ARP 132/2023 - ITEM - 243</t>
  </si>
  <si>
    <t xml:space="preserve">CONSUMIDO EM 
(11 MESES)
(a.1)
</t>
  </si>
  <si>
    <t xml:space="preserve">CONSUMO ESTIMADO PARA 
(12 MESES)
(a.2)
</t>
  </si>
  <si>
    <t xml:space="preserve">Espéculo vaginal descartável M indicado para a realização de conização, cirurgia de alta frequência ou LEEP, Modelo: Espéculo Vaginal com Ducto Aspirador, Medidas: 10x2,2  Esterilidade: Estéril por Óxido Etileno (ETO), Especificações: Espéculo vaginal descartável indicado para a realização de conização, cirurgia de alta frequência ou LEEP, Medidas 10x2,2,Esterilidade: Estéril por Óxido Etileno (ETO). Referência: Kolpast ou similar  </t>
  </si>
  <si>
    <t>CD DENTAL</t>
  </si>
  <si>
    <t>CARMONI UNIFORMES</t>
  </si>
  <si>
    <t>QUANTIDADES ANTERIOR - SEDUC</t>
  </si>
  <si>
    <t>QUANTIDADES ANTERIOR - SAÚDE</t>
  </si>
  <si>
    <t>MED CLEAN PRODUTO HOSPITALAR</t>
  </si>
  <si>
    <t>MEDCLEAN</t>
  </si>
  <si>
    <t>´-</t>
  </si>
  <si>
    <r>
      <rPr>
        <b/>
        <sz val="10"/>
        <color rgb="FF000000"/>
        <rFont val="Arial Narrow"/>
        <family val="2"/>
      </rPr>
      <t xml:space="preserve">Absorvente higiênico externo - tipo: hospitalar, </t>
    </r>
    <r>
      <rPr>
        <sz val="10"/>
        <color rgb="FF000000"/>
        <rFont val="Arial Narrow"/>
        <family val="2"/>
      </rPr>
      <t xml:space="preserve">características: com capacidade para grandes fluxos, com boa capacidade absorvente, cobertura interna de falso tecido película anti humidade polpa de flocos absorventes e cobertura externa impermeável, características adicionais: pacote com 20 unidades, embalagem contendo externamente dados de identificação e procedência, data de fabricação, lote e registro em órgão competente. </t>
    </r>
  </si>
  <si>
    <r>
      <rPr>
        <b/>
        <sz val="10"/>
        <color rgb="FF000000"/>
        <rFont val="Arial Narrow"/>
        <family val="2"/>
      </rPr>
      <t xml:space="preserve">Eletrodo - </t>
    </r>
    <r>
      <rPr>
        <sz val="10"/>
        <color rgb="FF000000"/>
        <rFont val="Arial Narrow"/>
        <family val="2"/>
      </rPr>
      <t>uso médico, aplicação: ECG, tipo uso: descartável, uso único, material: espuma/ gel sólido, apresentação: características adicionais: embalagem protetora individual contendo externamente dados de identificação e procedência, lote e registro em órgão competente</t>
    </r>
  </si>
  <si>
    <t xml:space="preserve">DIANA </t>
  </si>
  <si>
    <r>
      <rPr>
        <b/>
        <sz val="10"/>
        <color rgb="FF000000"/>
        <rFont val="Arial Narrow"/>
        <family val="2"/>
      </rPr>
      <t>Dreno cirúrgico -</t>
    </r>
    <r>
      <rPr>
        <sz val="10"/>
        <color rgb="FF000000"/>
        <rFont val="Arial Narrow"/>
        <family val="2"/>
      </rPr>
      <t xml:space="preserve"> modelo: torácico, calibre: Nº 36,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</si>
  <si>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modelo: torácico, calibre: Nº 38,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</si>
  <si>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modelo: torácico, calibre: Nº 40,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</si>
  <si>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t xml:space="preserve">Dreno cirúrgico - </t>
    </r>
    <r>
      <rPr>
        <sz val="10"/>
        <color rgb="FF000000"/>
        <rFont val="Arial Narrow"/>
        <family val="2"/>
      </rPr>
      <t>modelo: torácico, calibre: Nº 10,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</si>
  <si>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t>Dreno cirúrgico -</t>
    </r>
    <r>
      <rPr>
        <sz val="10"/>
        <color rgb="FF000000"/>
        <rFont val="Arial Narrow"/>
        <family val="2"/>
      </rPr>
      <t xml:space="preserve"> modelo: torácico, calibre: Nº 14,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</si>
  <si>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Dreno cirúrgico -</t>
    </r>
    <r>
      <rPr>
        <sz val="10"/>
        <color rgb="FF000000"/>
        <rFont val="Arial Narrow"/>
        <family val="2"/>
      </rPr>
      <t xml:space="preserve"> modelo: torácico, calibre: Nº 18</t>
    </r>
    <r>
      <rPr>
        <b/>
        <sz val="10"/>
        <color rgb="FF000000"/>
        <rFont val="Arial Narrow"/>
        <family val="2"/>
      </rPr>
      <t xml:space="preserve">, </t>
    </r>
    <r>
      <rPr>
        <sz val="10"/>
        <color rgb="FF000000"/>
        <rFont val="Arial Narrow"/>
        <family val="2"/>
      </rPr>
      <t>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</si>
  <si>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modelo: torácico, calibre: Nº 20,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</si>
  <si>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modelo: torácico, calibre: Nº 24,</t>
    </r>
    <r>
      <rPr>
        <b/>
        <sz val="10"/>
        <color rgb="FF000000"/>
        <rFont val="Arial Narrow"/>
        <family val="2"/>
      </rPr>
      <t xml:space="preserve"> </t>
    </r>
    <r>
      <rPr>
        <sz val="10"/>
        <color rgb="FF000000"/>
        <rFont val="Arial Narrow"/>
        <family val="2"/>
      </rPr>
      <t>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</si>
  <si>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modelo: torácico, calibre: Nº 28</t>
    </r>
    <r>
      <rPr>
        <b/>
        <sz val="10"/>
        <color rgb="FF000000"/>
        <rFont val="Arial Narrow"/>
        <family val="2"/>
      </rPr>
      <t xml:space="preserve">, </t>
    </r>
    <r>
      <rPr>
        <sz val="10"/>
        <color rgb="FF000000"/>
        <rFont val="Arial Narrow"/>
        <family val="2"/>
      </rPr>
      <t>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</si>
  <si>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r>
      <rPr>
        <b/>
        <sz val="10"/>
        <color rgb="FF000000"/>
        <rFont val="Arial Narrow"/>
        <family val="2"/>
      </rPr>
      <t xml:space="preserve">Dreno cirúrgico - </t>
    </r>
    <r>
      <rPr>
        <sz val="10"/>
        <color rgb="FF000000"/>
        <rFont val="Arial Narrow"/>
        <family val="2"/>
      </rPr>
      <t xml:space="preserve">modelo: torácico, calibre: Nº 32,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
</t>
    </r>
  </si>
  <si>
    <r>
      <rPr>
        <b/>
        <sz val="10"/>
        <color rgb="FF000000"/>
        <rFont val="Arial Narrow"/>
        <family val="2"/>
      </rPr>
      <t xml:space="preserve">Dreno cirúrgico - </t>
    </r>
    <r>
      <rPr>
        <sz val="10"/>
        <color rgb="FF000000"/>
        <rFont val="Arial Narrow"/>
        <family val="2"/>
      </rPr>
      <t>modelo: torácico, calibre: Nº 34</t>
    </r>
    <r>
      <rPr>
        <b/>
        <sz val="10"/>
        <color rgb="FF000000"/>
        <rFont val="Arial Narrow"/>
        <family val="2"/>
      </rPr>
      <t>,</t>
    </r>
    <r>
      <rPr>
        <sz val="10"/>
        <color rgb="FF000000"/>
        <rFont val="Arial Narrow"/>
        <family val="2"/>
      </rPr>
      <t xml:space="preserve">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t>
    </r>
  </si>
  <si>
    <t>OBS II: Para os demais itens, foram utilizados dois métodos de cálculo: a projeção baseada em uma série histórica de saídas dos últimos 11 meses e o método de predição, que incorpora informações fornecidas por profissionais da área sobre as quantidades necessárias para garantir a continuidade do abastecimento. Esses métodos combinados permitiram uma análise minuciosa do consumo e da demanda, fundamentando as quantidades previstas na licitação de forma a evitar desabastecimentos. Adicionalmente, novos itens foram incluídos para atender às demandas emergentes dos serviços municipais, assegurando que a oferta de materiais médicos seja suficiente para suprir tanto as necessidades atuais quanto as futuras demandas dos serviços públicos de saúde.</t>
  </si>
  <si>
    <t xml:space="preserve">OBS I : Considerando o aumento no quantitativo final dos itens 2, 107, 108 , 109 e 306, conforme detalhado no relatório, justifica-se a ampliação desses itens para atender à necessidade de atender as demandas da secretaria de  educação. Esse ajuste é essencial, especialmente para o item 2, destinado a assegurar o cumprimento do Decreto que regulamenta o Programa de Proteção e Promoção da Saúde Menstrual, instituído pela Lei nº 14.214, de 6 de outubro de 2021. Tal programa visa garantir a oferta gratuita de absorventes higiênicos e outros itens de higiene menstrual, promovendo a dignidade menstrual e o acesso à saúde básica. Os demais itens, 107, 108 e 109, destinam-se a suprir demandas específicas das tres creches municipais, assegurando que as crianças tenham acesso aos insumos necessários para um ambiente adequado e seguro. Essa ampliação é fundamental para o cumprimento das metas de cuidado e bem-estar no ambiente escolar, dentro dos princípios de saúde, dignidade e educação de qualidade. o apêndice II e  III, deste ETP, está a relação de alunos matriculados nas creches e escolas que necessitam desse itens. </t>
  </si>
  <si>
    <t>Pinça Professor Medina para biópsia uterina, medidas: 24cm, material: aço inoxidável, esterilidade: esterilizável.   Diâmetro da boca: 3mm. Especificação: Pinça Professor Medina para biópsia uterina, medidas: 24cm, material: aço inoxidável, esterilidade. Referência: Rhosse ou similar</t>
  </si>
  <si>
    <t>Tubo endotraqueal - tamanho: Nº 7,0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t>
  </si>
  <si>
    <t>Sonda nasogástrica curta - tamanho: Nº 20,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t>
  </si>
  <si>
    <t>Sonda nasogástrica longa - tamanho: Nº 04,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t>
  </si>
  <si>
    <t xml:space="preserve">Sonda nasogástrica curta - 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 </t>
  </si>
  <si>
    <t>TOTAL EDUCAÇÃO</t>
  </si>
  <si>
    <t>PREFEITURA DE TORITAMA - PROCESSO FMS Nº 017/2023 - PREGÃO ELETRÔNICO SRPC Nº 019/2023 ARP 116/2023 - ITEM - 127</t>
  </si>
  <si>
    <t>PREFEITURA DE TORITAMA - PROCESSO FMS Nº 017/2023 - PREGÃO ELETRÔNICO SRPC Nº 019/2023 ARP 116/2023 - ITEM - 128</t>
  </si>
  <si>
    <t>PREFEITURA DE TORITAMA - PROCESSO FMS Nº 017/2023 - PREGÃO ELETRÔNICO SRPC Nº 019/2023 ARP 119/2023 - ITEM - 45</t>
  </si>
  <si>
    <t>PREFEITURA DE TORITAMA - PROCESSO FMS Nº 017/2023 - PREGÃO ELETRÔNICO SRPC Nº 019/2023 ARP 119/2023 - ITEM - 41</t>
  </si>
  <si>
    <t>PREFEITURA DE TORITAMA - PROCESSO FMS Nº 017/2023 - PREGÃO ELETRÔNICO SRPC Nº 019/2023 ARP 119/2023 - ITEM - 43</t>
  </si>
  <si>
    <t>PREFEITURA DE TORITAMA - PROCESSO FMS Nº 017/2023 - PREGÃO ELETRÔNICO SRPC Nº 019/2023 ARP 119/2023 - ITEM - 44</t>
  </si>
  <si>
    <t>PREFEITURA DE TORITAMA - PROCESSO FMS Nº 017/2023 - PREGÃO ELETRÔNICO SRPC Nº 019/2023 ARP 119/2023 - ITEM - 46</t>
  </si>
  <si>
    <t>PREFEITURA DE TORITAMA - PROCESSO FMS Nº 017/2023 - PREGÃO ELETRÔNICO SRPC Nº 019/2023 ARP 119/2023 - ITEM - 47</t>
  </si>
  <si>
    <t>PREFEITURA DE TORITAMA - PROCESSO FMS Nº 017/2023 - PREGÃO ELETRÔNICO SRPC Nº 019/2023 ARP 119/2023 - ITEM - 48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</si>
</sst>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quot;R$&quot;\ #,##0.00"/>
    <numFmt numFmtId="165" formatCode="0.0000"/>
  </numFmts>
  <fonts count="28" x14ac:knownFonts="1">
    <font>
      <sz val="11"/>
      <color theme="1"/>
      <name val="Calibri"/>
      <family val="2"/>
      <scheme val="minor"/>
    </font>
    <font>
      <b/>
      <sz val="11"/>
      <color theme="1"/>
      <name val="Arial Narrow"/>
      <family val="2"/>
    </font>
    <font>
      <sz val="11"/>
      <color theme="1"/>
      <name val="Arial Narrow"/>
      <family val="2"/>
    </font>
    <font>
      <b/>
      <sz val="11"/>
      <color rgb="FF000000"/>
      <name val="Arial Narrow"/>
      <family val="2"/>
    </font>
    <font>
      <sz val="10"/>
      <color theme="1"/>
      <name val="Arial"/>
      <family val="2"/>
    </font>
    <font>
      <sz val="10"/>
      <color theme="1"/>
      <name val="Arial Narrow"/>
      <family val="2"/>
    </font>
    <font>
      <b/>
      <sz val="10"/>
      <color theme="1"/>
      <name val="Arial Narrow"/>
      <family val="2"/>
    </font>
    <font>
      <sz val="11"/>
      <color theme="1"/>
      <name val="Calibri"/>
      <family val="2"/>
      <scheme val="minor"/>
    </font>
    <font>
      <b/>
      <sz val="12"/>
      <color theme="1"/>
      <name val="Arial Narrow"/>
      <family val="2"/>
    </font>
    <font>
      <sz val="11"/>
      <color theme="1" tint="4.9989318521683403E-2"/>
      <name val="Arial Narrow"/>
      <family val="2"/>
    </font>
    <font>
      <sz val="10"/>
      <color theme="1" tint="4.9989318521683403E-2"/>
      <name val="Arial Narrow"/>
      <family val="2"/>
    </font>
    <font>
      <b/>
      <sz val="12"/>
      <name val="Arial Narrow"/>
      <family val="2"/>
    </font>
    <font>
      <sz val="11"/>
      <name val="Arial Narrow"/>
      <family val="2"/>
    </font>
    <font>
      <sz val="10"/>
      <name val="Arial Narrow"/>
      <family val="2"/>
    </font>
    <font>
      <b/>
      <sz val="10"/>
      <color rgb="FF000000"/>
      <name val="Arial Narrow"/>
      <family val="2"/>
    </font>
    <font>
      <b/>
      <sz val="10"/>
      <name val="Arial Narrow"/>
      <family val="2"/>
    </font>
    <font>
      <sz val="10"/>
      <color rgb="FF000000"/>
      <name val="Arial Narrow"/>
      <family val="2"/>
    </font>
    <font>
      <b/>
      <sz val="11"/>
      <name val="Arial Narrow"/>
      <family val="2"/>
    </font>
    <font>
      <b/>
      <sz val="11"/>
      <color theme="1" tint="4.9989318521683403E-2"/>
      <name val="Arial Narrow"/>
      <family val="2"/>
    </font>
    <font>
      <sz val="10"/>
      <color rgb="FFFF0000"/>
      <name val="Arial Narrow"/>
      <family val="2"/>
    </font>
    <font>
      <b/>
      <vertAlign val="superscript"/>
      <sz val="10"/>
      <color rgb="FF000000"/>
      <name val="Arial Narrow"/>
      <family val="2"/>
    </font>
    <font>
      <b/>
      <sz val="10"/>
      <color rgb="FFFF0000"/>
      <name val="Arial Narrow"/>
      <family val="2"/>
    </font>
    <font>
      <b/>
      <u/>
      <sz val="10"/>
      <color theme="1"/>
      <name val="Arial Narrow"/>
      <family val="2"/>
    </font>
    <font>
      <sz val="8"/>
      <name val="Calibri"/>
      <family val="2"/>
      <scheme val="minor"/>
    </font>
    <font>
      <sz val="10"/>
      <color rgb="FF333333"/>
      <name val="Arial Narrow"/>
      <family val="2"/>
    </font>
    <font>
      <b/>
      <sz val="10"/>
      <color theme="1" tint="4.9989318521683403E-2"/>
      <name val="Arial Narrow"/>
      <family val="2"/>
    </font>
    <font>
      <sz val="9"/>
      <color indexed="81"/>
      <name val="Segoe UI"/>
      <family val="2"/>
    </font>
    <font>
      <b/>
      <sz val="9"/>
      <color indexed="81"/>
      <name val="Segoe UI"/>
      <family val="2"/>
    </font>
  </fonts>
  <fills count="11">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9" fontId="7" fillId="0" borderId="0" applyFont="0" applyFill="0" applyBorder="0" applyAlignment="0" applyProtection="0"/>
    <xf numFmtId="44" fontId="7" fillId="0" borderId="0" applyFont="0" applyFill="0" applyBorder="0" applyAlignment="0" applyProtection="0"/>
  </cellStyleXfs>
  <cellXfs count="182">
    <xf numFmtId="0" fontId="0" fillId="0" borderId="0" xfId="0"/>
    <xf numFmtId="0" fontId="2"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0" borderId="0" xfId="0" applyFont="1"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10" fillId="3" borderId="0" xfId="0" applyNumberFormat="1" applyFont="1" applyFill="1" applyAlignment="1">
      <alignment horizontal="center" vertical="center" wrapText="1"/>
    </xf>
    <xf numFmtId="10" fontId="2" fillId="0" borderId="0" xfId="2" applyNumberFormat="1" applyFont="1" applyAlignment="1">
      <alignment horizontal="center" vertical="center" wrapText="1"/>
    </xf>
    <xf numFmtId="165" fontId="2" fillId="0" borderId="0" xfId="0" applyNumberFormat="1" applyFont="1" applyAlignment="1">
      <alignment horizontal="center" vertical="center" wrapText="1"/>
    </xf>
    <xf numFmtId="164" fontId="2" fillId="0" borderId="0" xfId="0" applyNumberFormat="1" applyFont="1" applyAlignment="1">
      <alignmen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justify" vertical="top" wrapText="1"/>
    </xf>
    <xf numFmtId="0" fontId="16" fillId="0" borderId="1" xfId="0" applyFont="1" applyBorder="1" applyAlignment="1" applyProtection="1">
      <alignment horizontal="center" vertical="center" wrapText="1"/>
      <protection locked="0"/>
    </xf>
    <xf numFmtId="164" fontId="17" fillId="0" borderId="1" xfId="0" applyNumberFormat="1" applyFont="1" applyBorder="1" applyAlignment="1">
      <alignment horizontal="center" vertical="center"/>
    </xf>
    <xf numFmtId="0" fontId="13" fillId="3" borderId="1" xfId="0" applyFont="1" applyFill="1" applyBorder="1" applyAlignment="1" applyProtection="1">
      <alignment horizontal="center" vertical="center" wrapText="1"/>
      <protection locked="0"/>
    </xf>
    <xf numFmtId="0" fontId="1" fillId="0" borderId="0" xfId="0" applyFont="1" applyAlignment="1">
      <alignment wrapText="1"/>
    </xf>
    <xf numFmtId="0" fontId="13" fillId="0" borderId="1" xfId="0" applyFont="1" applyBorder="1" applyAlignment="1" applyProtection="1">
      <alignment horizontal="center" vertical="center" wrapText="1"/>
      <protection locked="0"/>
    </xf>
    <xf numFmtId="0" fontId="2" fillId="3" borderId="0" xfId="0" applyFont="1" applyFill="1" applyAlignment="1">
      <alignment wrapText="1"/>
    </xf>
    <xf numFmtId="0" fontId="12" fillId="3" borderId="0" xfId="0" applyFont="1" applyFill="1" applyAlignment="1">
      <alignment wrapText="1"/>
    </xf>
    <xf numFmtId="164" fontId="2" fillId="5" borderId="0" xfId="0" applyNumberFormat="1" applyFont="1" applyFill="1" applyAlignment="1">
      <alignment horizontal="center" vertical="center" wrapText="1"/>
    </xf>
    <xf numFmtId="164" fontId="2" fillId="3" borderId="0" xfId="0" applyNumberFormat="1" applyFont="1" applyFill="1" applyAlignment="1">
      <alignment horizontal="center" vertical="center" wrapText="1"/>
    </xf>
    <xf numFmtId="164" fontId="3" fillId="4" borderId="1" xfId="0" applyNumberFormat="1" applyFont="1" applyFill="1" applyBorder="1" applyAlignment="1">
      <alignment horizontal="center" vertical="center" wrapText="1"/>
    </xf>
    <xf numFmtId="164" fontId="17" fillId="4" borderId="1" xfId="0" applyNumberFormat="1" applyFont="1" applyFill="1" applyBorder="1" applyAlignment="1">
      <alignment horizontal="center" vertical="center" wrapText="1"/>
    </xf>
    <xf numFmtId="164" fontId="6" fillId="3" borderId="1" xfId="0" applyNumberFormat="1" applyFont="1" applyFill="1" applyBorder="1" applyAlignment="1">
      <alignment horizontal="center" vertical="center" wrapText="1"/>
    </xf>
    <xf numFmtId="0" fontId="15" fillId="3"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1" xfId="0" applyFont="1" applyFill="1" applyBorder="1" applyAlignment="1">
      <alignment horizontal="center" vertical="center" wrapText="1"/>
    </xf>
    <xf numFmtId="1" fontId="12" fillId="0" borderId="1" xfId="0" applyNumberFormat="1" applyFont="1" applyBorder="1" applyAlignment="1">
      <alignment horizontal="center" vertical="center" wrapText="1"/>
    </xf>
    <xf numFmtId="0" fontId="5" fillId="0" borderId="0" xfId="0" applyFont="1" applyAlignment="1">
      <alignment horizontal="center" vertical="center" wrapText="1"/>
    </xf>
    <xf numFmtId="9" fontId="16" fillId="0" borderId="0" xfId="2" applyFont="1" applyBorder="1" applyAlignment="1" applyProtection="1">
      <alignment horizontal="center" vertical="center" wrapText="1"/>
    </xf>
    <xf numFmtId="0" fontId="19" fillId="3" borderId="0" xfId="0" applyFont="1" applyFill="1" applyAlignment="1">
      <alignment horizontal="center" vertical="center" wrapText="1"/>
    </xf>
    <xf numFmtId="0" fontId="1" fillId="3" borderId="0" xfId="0" applyFont="1" applyFill="1" applyAlignment="1">
      <alignment wrapText="1"/>
    </xf>
    <xf numFmtId="0" fontId="5"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justify" vertical="top" wrapText="1"/>
    </xf>
    <xf numFmtId="1" fontId="5" fillId="3" borderId="1"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164" fontId="13" fillId="3" borderId="1" xfId="1" applyNumberFormat="1" applyFont="1" applyFill="1" applyBorder="1" applyAlignment="1">
      <alignment horizontal="center" vertical="center" wrapText="1"/>
    </xf>
    <xf numFmtId="164" fontId="6" fillId="3" borderId="1" xfId="3" applyNumberFormat="1" applyFont="1" applyFill="1" applyBorder="1" applyAlignment="1">
      <alignment horizontal="center" vertical="center" wrapText="1"/>
    </xf>
    <xf numFmtId="164" fontId="2" fillId="3" borderId="0" xfId="0" applyNumberFormat="1" applyFont="1" applyFill="1" applyAlignment="1">
      <alignment wrapText="1"/>
    </xf>
    <xf numFmtId="164" fontId="15" fillId="3" borderId="1" xfId="1" applyNumberFormat="1" applyFont="1" applyFill="1" applyBorder="1" applyAlignment="1">
      <alignment horizontal="center" vertical="center" wrapText="1"/>
    </xf>
    <xf numFmtId="164" fontId="2" fillId="0" borderId="0" xfId="0" applyNumberFormat="1" applyFont="1" applyAlignment="1">
      <alignment wrapText="1"/>
    </xf>
    <xf numFmtId="0" fontId="5" fillId="3" borderId="1" xfId="0" applyFont="1" applyFill="1" applyBorder="1" applyAlignment="1">
      <alignment vertical="center"/>
    </xf>
    <xf numFmtId="0" fontId="10"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6" fillId="0" borderId="1" xfId="0" applyFont="1" applyBorder="1" applyAlignment="1">
      <alignment horizontal="center" vertical="center" wrapText="1"/>
    </xf>
    <xf numFmtId="1" fontId="13" fillId="3"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19" fillId="0" borderId="1" xfId="0" applyFont="1" applyBorder="1" applyAlignment="1">
      <alignment horizontal="center" vertical="center"/>
    </xf>
    <xf numFmtId="0" fontId="16" fillId="7" borderId="1" xfId="0" applyFont="1" applyFill="1" applyBorder="1" applyAlignment="1">
      <alignment horizontal="center" vertical="center" wrapText="1"/>
    </xf>
    <xf numFmtId="3" fontId="16" fillId="7"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xf>
    <xf numFmtId="0" fontId="16" fillId="3" borderId="1" xfId="0" applyFont="1" applyFill="1" applyBorder="1" applyAlignment="1" applyProtection="1">
      <alignment horizontal="center" vertical="center" wrapText="1"/>
      <protection locked="0"/>
    </xf>
    <xf numFmtId="0" fontId="5" fillId="3" borderId="1" xfId="1" applyFont="1" applyFill="1" applyBorder="1" applyAlignment="1">
      <alignment horizontal="center" vertical="center" wrapText="1"/>
    </xf>
    <xf numFmtId="0" fontId="13" fillId="3" borderId="1"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0" fontId="9" fillId="3" borderId="0" xfId="0" applyNumberFormat="1" applyFont="1" applyFill="1" applyAlignment="1">
      <alignment wrapText="1"/>
    </xf>
    <xf numFmtId="10" fontId="5" fillId="3" borderId="1" xfId="1" applyNumberFormat="1" applyFont="1" applyFill="1" applyBorder="1" applyAlignment="1">
      <alignment horizontal="center" vertical="center" wrapText="1"/>
    </xf>
    <xf numFmtId="10" fontId="2" fillId="3" borderId="0" xfId="0" applyNumberFormat="1" applyFont="1" applyFill="1" applyAlignment="1">
      <alignment wrapText="1"/>
    </xf>
    <xf numFmtId="10" fontId="10" fillId="3" borderId="0" xfId="0" applyNumberFormat="1" applyFont="1" applyFill="1" applyAlignment="1">
      <alignment horizontal="center" vertical="center" wrapText="1"/>
    </xf>
    <xf numFmtId="10" fontId="9" fillId="3" borderId="0" xfId="0" applyNumberFormat="1" applyFont="1" applyFill="1" applyAlignment="1">
      <alignment horizontal="center" vertical="center" wrapText="1"/>
    </xf>
    <xf numFmtId="10" fontId="9" fillId="3" borderId="0" xfId="0" applyNumberFormat="1" applyFont="1" applyFill="1" applyAlignment="1">
      <alignment horizontal="center" wrapText="1"/>
    </xf>
    <xf numFmtId="0" fontId="6" fillId="5" borderId="1" xfId="1" applyFont="1" applyFill="1" applyBorder="1" applyAlignment="1">
      <alignment horizontal="center" vertical="center" wrapText="1"/>
    </xf>
    <xf numFmtId="0" fontId="5" fillId="5" borderId="1" xfId="1" applyFont="1" applyFill="1" applyBorder="1" applyAlignment="1">
      <alignment horizontal="center" vertical="center" wrapText="1"/>
    </xf>
    <xf numFmtId="164" fontId="5" fillId="5" borderId="1" xfId="1" applyNumberFormat="1" applyFont="1" applyFill="1" applyBorder="1" applyAlignment="1">
      <alignment horizontal="center" vertical="center" wrapText="1"/>
    </xf>
    <xf numFmtId="0" fontId="13" fillId="5" borderId="1" xfId="1" applyFont="1" applyFill="1" applyBorder="1" applyAlignment="1">
      <alignment horizontal="center" vertical="center" wrapText="1"/>
    </xf>
    <xf numFmtId="164" fontId="13" fillId="5" borderId="1" xfId="1" applyNumberFormat="1" applyFont="1" applyFill="1" applyBorder="1" applyAlignment="1">
      <alignment horizontal="center" vertical="center" wrapText="1"/>
    </xf>
    <xf numFmtId="164" fontId="15" fillId="5" borderId="1" xfId="1" applyNumberFormat="1" applyFont="1" applyFill="1" applyBorder="1" applyAlignment="1">
      <alignment horizontal="center" vertical="center" wrapText="1"/>
    </xf>
    <xf numFmtId="0" fontId="13" fillId="5" borderId="1" xfId="1" quotePrefix="1" applyFont="1" applyFill="1" applyBorder="1" applyAlignment="1">
      <alignment horizontal="center" vertical="center" wrapText="1"/>
    </xf>
    <xf numFmtId="0" fontId="13" fillId="0" borderId="1" xfId="0" applyFont="1" applyBorder="1" applyAlignment="1">
      <alignment horizontal="center" vertical="center" wrapText="1"/>
    </xf>
    <xf numFmtId="0" fontId="25" fillId="3" borderId="0" xfId="0" applyFont="1" applyFill="1" applyAlignment="1">
      <alignment horizontal="center" vertical="center" wrapText="1"/>
    </xf>
    <xf numFmtId="0" fontId="1" fillId="0" borderId="0" xfId="0" applyFont="1" applyAlignment="1">
      <alignment horizontal="center" vertical="center" wrapText="1"/>
    </xf>
    <xf numFmtId="164" fontId="6" fillId="5" borderId="1" xfId="1" applyNumberFormat="1" applyFont="1" applyFill="1" applyBorder="1" applyAlignment="1">
      <alignment horizontal="center" vertical="center" wrapText="1"/>
    </xf>
    <xf numFmtId="164" fontId="24" fillId="5" borderId="0" xfId="0" applyNumberFormat="1" applyFont="1" applyFill="1" applyAlignment="1">
      <alignment horizontal="center" vertical="center" wrapText="1"/>
    </xf>
    <xf numFmtId="164" fontId="1" fillId="3" borderId="1" xfId="0" applyNumberFormat="1" applyFont="1" applyFill="1" applyBorder="1" applyAlignment="1">
      <alignment horizontal="center" vertical="center" wrapText="1"/>
    </xf>
    <xf numFmtId="9" fontId="5" fillId="0" borderId="1" xfId="2" applyFont="1" applyBorder="1" applyAlignment="1">
      <alignment horizontal="center" vertical="center" wrapText="1"/>
    </xf>
    <xf numFmtId="9" fontId="13" fillId="0" borderId="1" xfId="2" applyFont="1" applyBorder="1" applyAlignment="1" applyProtection="1">
      <alignment horizontal="center" vertical="center" wrapText="1"/>
    </xf>
    <xf numFmtId="9" fontId="5" fillId="0" borderId="1" xfId="2" applyFont="1" applyFill="1" applyBorder="1" applyAlignment="1">
      <alignment horizontal="center" vertical="center" wrapText="1"/>
    </xf>
    <xf numFmtId="9" fontId="13" fillId="0" borderId="1" xfId="2" applyFont="1" applyFill="1" applyBorder="1" applyAlignment="1" applyProtection="1">
      <alignment horizontal="center" vertical="center" wrapText="1"/>
    </xf>
    <xf numFmtId="9" fontId="5" fillId="3" borderId="3" xfId="2" applyFont="1" applyFill="1" applyBorder="1" applyAlignment="1">
      <alignment horizontal="center" vertical="center" wrapText="1"/>
    </xf>
    <xf numFmtId="9" fontId="13" fillId="3" borderId="3" xfId="2"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5" fillId="3" borderId="0" xfId="0" applyFont="1" applyFill="1" applyAlignment="1">
      <alignment horizontal="center" vertical="center"/>
    </xf>
    <xf numFmtId="0" fontId="16" fillId="3" borderId="0" xfId="0" applyFont="1" applyFill="1" applyAlignment="1">
      <alignment horizontal="center" vertical="center" wrapText="1"/>
    </xf>
    <xf numFmtId="0" fontId="16" fillId="3" borderId="0" xfId="0" applyFont="1" applyFill="1" applyAlignment="1" applyProtection="1">
      <alignment horizontal="center" vertical="center" wrapText="1"/>
      <protection locked="0"/>
    </xf>
    <xf numFmtId="1" fontId="13" fillId="3" borderId="0" xfId="0" applyNumberFormat="1" applyFont="1" applyFill="1" applyAlignment="1">
      <alignment horizontal="center" vertical="center" wrapText="1"/>
    </xf>
    <xf numFmtId="9" fontId="5" fillId="3" borderId="0" xfId="2" applyFont="1" applyFill="1" applyBorder="1" applyAlignment="1">
      <alignment horizontal="center" vertical="center" wrapText="1"/>
    </xf>
    <xf numFmtId="9" fontId="13" fillId="3" borderId="0" xfId="2" applyFont="1" applyFill="1" applyBorder="1" applyAlignment="1" applyProtection="1">
      <alignment horizontal="center" vertical="center" wrapText="1"/>
    </xf>
    <xf numFmtId="0" fontId="1" fillId="3" borderId="0" xfId="0" applyFont="1" applyFill="1" applyAlignment="1">
      <alignment horizontal="center" vertical="center" wrapText="1"/>
    </xf>
    <xf numFmtId="164" fontId="1" fillId="3" borderId="0" xfId="0" applyNumberFormat="1" applyFont="1" applyFill="1" applyAlignment="1">
      <alignment horizontal="center" vertical="center" wrapText="1"/>
    </xf>
    <xf numFmtId="0" fontId="5" fillId="0" borderId="0" xfId="0" applyFont="1" applyProtection="1">
      <protection locked="0"/>
    </xf>
    <xf numFmtId="0" fontId="5" fillId="3" borderId="0" xfId="0" applyFont="1" applyFill="1" applyProtection="1">
      <protection locked="0"/>
    </xf>
    <xf numFmtId="0" fontId="13" fillId="0" borderId="0" xfId="0" applyFont="1" applyProtection="1">
      <protection locked="0"/>
    </xf>
    <xf numFmtId="0" fontId="6" fillId="0" borderId="0" xfId="0" applyFont="1" applyAlignment="1" applyProtection="1">
      <alignment vertical="center"/>
      <protection locked="0"/>
    </xf>
    <xf numFmtId="0" fontId="6" fillId="0" borderId="0" xfId="0" applyFont="1" applyProtection="1">
      <protection locked="0"/>
    </xf>
    <xf numFmtId="0" fontId="5" fillId="0" borderId="0" xfId="0" applyFont="1" applyAlignment="1" applyProtection="1">
      <alignment vertical="center"/>
      <protection locked="0"/>
    </xf>
    <xf numFmtId="0" fontId="16" fillId="0" borderId="1" xfId="0" applyFont="1" applyBorder="1" applyAlignment="1">
      <alignment horizontal="justify" vertical="top" wrapText="1"/>
    </xf>
    <xf numFmtId="0" fontId="14" fillId="3" borderId="1" xfId="0" applyFont="1" applyFill="1" applyBorder="1" applyAlignment="1">
      <alignment horizontal="justify" vertical="top" wrapText="1"/>
    </xf>
    <xf numFmtId="0" fontId="16" fillId="3" borderId="1" xfId="0" applyFont="1" applyFill="1" applyBorder="1" applyAlignment="1">
      <alignment horizontal="justify" vertical="top" wrapText="1"/>
    </xf>
    <xf numFmtId="0" fontId="5" fillId="3" borderId="1" xfId="0" applyFont="1" applyFill="1" applyBorder="1" applyAlignment="1">
      <alignment horizontal="justify" vertical="top" wrapText="1"/>
    </xf>
    <xf numFmtId="0" fontId="5" fillId="0" borderId="1" xfId="0" applyFont="1" applyBorder="1" applyAlignment="1">
      <alignment horizontal="justify" vertical="top" wrapText="1"/>
    </xf>
    <xf numFmtId="0" fontId="16" fillId="7" borderId="1" xfId="0" applyFont="1" applyFill="1" applyBorder="1" applyAlignment="1">
      <alignment horizontal="justify" vertical="top" wrapText="1"/>
    </xf>
    <xf numFmtId="0" fontId="14" fillId="0" borderId="1" xfId="0" applyFont="1" applyBorder="1" applyAlignment="1">
      <alignment horizontal="justify" vertical="top" wrapText="1"/>
    </xf>
    <xf numFmtId="0" fontId="13" fillId="0" borderId="1" xfId="0" applyFont="1" applyBorder="1" applyAlignment="1">
      <alignment horizontal="justify" vertical="top" wrapText="1"/>
    </xf>
    <xf numFmtId="0" fontId="6" fillId="3" borderId="1" xfId="0" applyFont="1" applyFill="1" applyBorder="1" applyAlignment="1">
      <alignment horizontal="justify" vertical="top" wrapText="1"/>
    </xf>
    <xf numFmtId="0" fontId="22" fillId="3" borderId="1" xfId="0" applyFont="1" applyFill="1" applyBorder="1" applyAlignment="1">
      <alignment horizontal="justify" vertical="top" wrapText="1"/>
    </xf>
    <xf numFmtId="0" fontId="6" fillId="3" borderId="0" xfId="0" applyFont="1" applyFill="1" applyAlignment="1">
      <alignment horizontal="justify" vertical="top" wrapText="1"/>
    </xf>
    <xf numFmtId="0" fontId="5" fillId="0" borderId="0" xfId="0" applyFont="1" applyAlignment="1" applyProtection="1">
      <alignment horizontal="justify" vertical="top"/>
      <protection locked="0"/>
    </xf>
    <xf numFmtId="0" fontId="6" fillId="0" borderId="0" xfId="0" applyFont="1" applyAlignment="1" applyProtection="1">
      <alignment horizontal="justify" vertical="top"/>
      <protection locked="0"/>
    </xf>
    <xf numFmtId="0" fontId="2" fillId="0" borderId="0" xfId="0" applyFont="1"/>
    <xf numFmtId="0" fontId="2" fillId="0" borderId="1" xfId="0" applyFont="1" applyBorder="1" applyAlignment="1">
      <alignment horizontal="center" vertical="center"/>
    </xf>
    <xf numFmtId="164" fontId="12" fillId="0" borderId="0" xfId="0" applyNumberFormat="1" applyFont="1"/>
    <xf numFmtId="164" fontId="2" fillId="0" borderId="0" xfId="0" applyNumberFormat="1" applyFont="1"/>
    <xf numFmtId="0" fontId="6" fillId="0" borderId="0" xfId="0" applyFont="1" applyAlignment="1">
      <alignment horizontal="center" vertical="center" wrapText="1"/>
    </xf>
    <xf numFmtId="164" fontId="5" fillId="0" borderId="0" xfId="0" applyNumberFormat="1" applyFont="1" applyAlignment="1">
      <alignment horizontal="center" vertical="center" wrapText="1"/>
    </xf>
    <xf numFmtId="164" fontId="5" fillId="3" borderId="1" xfId="0" applyNumberFormat="1" applyFont="1" applyFill="1" applyBorder="1" applyAlignment="1">
      <alignment horizontal="center" vertical="center" wrapText="1"/>
    </xf>
    <xf numFmtId="0" fontId="5" fillId="3" borderId="0" xfId="0" applyFont="1" applyFill="1" applyAlignment="1">
      <alignment horizontal="center" vertical="center" wrapText="1"/>
    </xf>
    <xf numFmtId="164" fontId="6" fillId="0" borderId="0" xfId="0" applyNumberFormat="1" applyFont="1" applyAlignment="1">
      <alignment horizontal="center" vertical="center" wrapText="1"/>
    </xf>
    <xf numFmtId="0" fontId="6"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1" fontId="13" fillId="8" borderId="1" xfId="0" applyNumberFormat="1" applyFont="1" applyFill="1" applyBorder="1" applyAlignment="1">
      <alignment horizontal="center" vertical="center" wrapText="1"/>
    </xf>
    <xf numFmtId="9" fontId="5" fillId="3" borderId="1" xfId="2" applyFont="1" applyFill="1" applyBorder="1" applyAlignment="1">
      <alignment horizontal="center" vertical="center" wrapText="1"/>
    </xf>
    <xf numFmtId="9" fontId="13" fillId="3" borderId="1" xfId="2" applyFont="1" applyFill="1" applyBorder="1" applyAlignment="1" applyProtection="1">
      <alignment horizontal="center" vertical="center" wrapText="1"/>
    </xf>
    <xf numFmtId="0" fontId="5" fillId="3" borderId="3" xfId="0" applyFont="1" applyFill="1" applyBorder="1" applyAlignment="1">
      <alignment horizontal="center" vertical="center"/>
    </xf>
    <xf numFmtId="0" fontId="5" fillId="3" borderId="3" xfId="0" applyFont="1" applyFill="1" applyBorder="1" applyAlignment="1">
      <alignment horizontal="justify" vertical="top" wrapText="1"/>
    </xf>
    <xf numFmtId="0" fontId="16" fillId="3" borderId="3" xfId="0" applyFont="1" applyFill="1" applyBorder="1" applyAlignment="1">
      <alignment horizontal="center" vertical="center" wrapText="1"/>
    </xf>
    <xf numFmtId="1" fontId="13" fillId="9" borderId="1"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1" fontId="5" fillId="3" borderId="1" xfId="0" applyNumberFormat="1" applyFont="1" applyFill="1" applyBorder="1" applyAlignment="1">
      <alignment horizontal="center" vertical="center"/>
    </xf>
    <xf numFmtId="0" fontId="10" fillId="3" borderId="1" xfId="0" applyFont="1" applyFill="1" applyBorder="1" applyAlignment="1" applyProtection="1">
      <alignment horizontal="center" vertical="center" wrapText="1"/>
      <protection locked="0"/>
    </xf>
    <xf numFmtId="165" fontId="2" fillId="3" borderId="0" xfId="0" applyNumberFormat="1" applyFont="1" applyFill="1" applyAlignment="1">
      <alignment horizontal="center" vertical="center" wrapText="1"/>
    </xf>
    <xf numFmtId="10" fontId="2" fillId="3" borderId="0" xfId="2" applyNumberFormat="1" applyFont="1" applyFill="1" applyAlignment="1">
      <alignment horizontal="center" vertical="center" wrapText="1"/>
    </xf>
    <xf numFmtId="0" fontId="15" fillId="5" borderId="1" xfId="1" applyFont="1" applyFill="1" applyBorder="1" applyAlignment="1">
      <alignment horizontal="center" vertical="center" wrapText="1"/>
    </xf>
    <xf numFmtId="10" fontId="6" fillId="5" borderId="1" xfId="1"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5" fillId="3" borderId="1"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5" fillId="0" borderId="3" xfId="0" applyFont="1" applyBorder="1" applyAlignment="1">
      <alignment horizontal="justify" vertical="top" wrapText="1"/>
    </xf>
    <xf numFmtId="1" fontId="13" fillId="0" borderId="1" xfId="0" applyNumberFormat="1" applyFont="1" applyBorder="1" applyAlignment="1">
      <alignment horizontal="center" vertical="center" wrapText="1"/>
    </xf>
    <xf numFmtId="0" fontId="5" fillId="0" borderId="1" xfId="0" applyFont="1" applyBorder="1" applyAlignment="1" applyProtection="1">
      <alignment horizontal="center" vertical="center"/>
      <protection locked="0"/>
    </xf>
    <xf numFmtId="0" fontId="2" fillId="0" borderId="0" xfId="0" applyFont="1" applyAlignment="1">
      <alignment horizontal="center"/>
    </xf>
    <xf numFmtId="0" fontId="17" fillId="2"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0" fillId="3" borderId="4" xfId="0" applyFont="1" applyFill="1" applyBorder="1" applyAlignment="1" applyProtection="1">
      <alignment horizontal="justify" vertical="top" wrapText="1"/>
      <protection locked="0"/>
    </xf>
    <xf numFmtId="0" fontId="10" fillId="3" borderId="5" xfId="0" applyFont="1" applyFill="1" applyBorder="1" applyAlignment="1" applyProtection="1">
      <alignment horizontal="justify" vertical="top" wrapText="1"/>
      <protection locked="0"/>
    </xf>
    <xf numFmtId="0" fontId="10" fillId="3" borderId="6" xfId="0" applyFont="1" applyFill="1" applyBorder="1" applyAlignment="1" applyProtection="1">
      <alignment horizontal="justify" vertical="top" wrapText="1"/>
      <protection locked="0"/>
    </xf>
    <xf numFmtId="0" fontId="5" fillId="0" borderId="0" xfId="0" applyFont="1" applyAlignment="1">
      <alignment horizontal="center"/>
    </xf>
    <xf numFmtId="0" fontId="14" fillId="4" borderId="1" xfId="0"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0" fontId="6" fillId="10" borderId="3" xfId="0"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wrapText="1"/>
      <protection locked="0"/>
    </xf>
    <xf numFmtId="0" fontId="6" fillId="4"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0" borderId="0" xfId="0" applyFont="1" applyAlignment="1" applyProtection="1">
      <alignment horizontal="center" vertical="center" wrapText="1"/>
      <protection locked="0"/>
    </xf>
    <xf numFmtId="0" fontId="5"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14" fillId="8" borderId="0" xfId="0" applyFont="1" applyFill="1" applyAlignment="1" applyProtection="1">
      <alignment horizontal="center" vertical="center"/>
      <protection locked="0"/>
    </xf>
    <xf numFmtId="0" fontId="5" fillId="0" borderId="0" xfId="0" applyFont="1" applyAlignment="1" applyProtection="1">
      <alignment horizontal="left" vertical="center" wrapText="1"/>
      <protection locked="0"/>
    </xf>
    <xf numFmtId="0" fontId="14" fillId="3" borderId="0" xfId="0" applyFont="1" applyFill="1" applyAlignment="1" applyProtection="1">
      <alignment horizontal="center" vertical="center"/>
      <protection locked="0"/>
    </xf>
    <xf numFmtId="0" fontId="16" fillId="0" borderId="0" xfId="0" applyFont="1" applyAlignment="1" applyProtection="1">
      <alignment horizontal="left" vertical="center" wrapText="1"/>
      <protection locked="0"/>
    </xf>
    <xf numFmtId="0" fontId="11" fillId="5" borderId="1" xfId="0" applyFont="1" applyFill="1" applyBorder="1" applyAlignment="1">
      <alignment horizontal="center" vertical="center" wrapText="1"/>
    </xf>
    <xf numFmtId="0" fontId="8" fillId="0" borderId="0" xfId="0" applyFont="1" applyAlignment="1">
      <alignment horizontal="center" vertical="center" wrapText="1"/>
    </xf>
    <xf numFmtId="0" fontId="6" fillId="5" borderId="0" xfId="0" applyFont="1" applyFill="1" applyAlignment="1">
      <alignment horizontal="center" vertical="center" wrapText="1"/>
    </xf>
    <xf numFmtId="0" fontId="2" fillId="3" borderId="0" xfId="0" applyFont="1" applyFill="1" applyAlignment="1">
      <alignment horizontal="center" wrapText="1"/>
    </xf>
    <xf numFmtId="0" fontId="2" fillId="0" borderId="0" xfId="0" applyFont="1" applyAlignment="1">
      <alignment horizontal="left" vertical="center" wrapText="1"/>
    </xf>
    <xf numFmtId="164" fontId="18"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8" borderId="1" xfId="0" applyFont="1" applyFill="1" applyBorder="1" applyAlignment="1" applyProtection="1">
      <alignment horizontal="center" vertical="center"/>
      <protection locked="0"/>
    </xf>
    <xf numFmtId="164" fontId="15" fillId="8" borderId="1" xfId="1" applyNumberFormat="1" applyFont="1" applyFill="1" applyBorder="1" applyAlignment="1">
      <alignment horizontal="center" vertical="center" wrapText="1"/>
    </xf>
    <xf numFmtId="0" fontId="13" fillId="8" borderId="1" xfId="1" applyFont="1" applyFill="1" applyBorder="1" applyAlignment="1">
      <alignment horizontal="center" vertical="center" wrapText="1"/>
    </xf>
    <xf numFmtId="164" fontId="13" fillId="8" borderId="1" xfId="1" applyNumberFormat="1" applyFont="1" applyFill="1" applyBorder="1" applyAlignment="1">
      <alignment horizontal="center" vertical="center" wrapText="1"/>
    </xf>
  </cellXfs>
  <cellStyles count="4">
    <cellStyle name="Moeda" xfId="3" builtinId="4"/>
    <cellStyle name="Normal" xfId="0" builtinId="0"/>
    <cellStyle name="Normal 2" xfId="1"/>
    <cellStyle name="Porcentagem" xfId="2" builtinId="5"/>
  </cellStyles>
  <dxfs count="0"/>
  <tableStyles count="0" defaultTableStyle="TableStyleMedium2" defaultPivotStyle="PivotStyleLight16"/>
  <colors>
    <mruColors>
      <color rgb="FFF595D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1285875</xdr:colOff>
          <xdr:row>0</xdr:row>
          <xdr:rowOff>0</xdr:rowOff>
        </xdr:from>
        <xdr:to>
          <xdr:col>4</xdr:col>
          <xdr:colOff>142875</xdr:colOff>
          <xdr:row>1</xdr:row>
          <xdr:rowOff>0</xdr:rowOff>
        </xdr:to>
        <xdr:sp macro="" textlink="">
          <xdr:nvSpPr>
            <xdr:cNvPr id="7173" name="Object 5" hidden="1">
              <a:extLst>
                <a:ext uri="{63B3BB69-23CF-44E3-9099-C40C66FF867C}">
                  <a14:compatExt spid="_x0000_s7173"/>
                </a:ext>
                <a:ext uri="{FF2B5EF4-FFF2-40B4-BE49-F238E27FC236}">
                  <a16:creationId xmlns:a16="http://schemas.microsoft.com/office/drawing/2014/main" xmlns="" id="{00000000-0008-0000-0000-00000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257175</xdr:colOff>
          <xdr:row>0</xdr:row>
          <xdr:rowOff>19050</xdr:rowOff>
        </xdr:from>
        <xdr:to>
          <xdr:col>9</xdr:col>
          <xdr:colOff>0</xdr:colOff>
          <xdr:row>1</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xmlns="" id="{00000000-0008-0000-01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447675</xdr:colOff>
          <xdr:row>0</xdr:row>
          <xdr:rowOff>0</xdr:rowOff>
        </xdr:from>
        <xdr:to>
          <xdr:col>15</xdr:col>
          <xdr:colOff>104775</xdr:colOff>
          <xdr:row>1</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xmlns="" id="{00000000-0008-0000-02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2"/>
  <sheetViews>
    <sheetView topLeftCell="A350" zoomScaleNormal="100" zoomScaleSheetLayoutView="110" workbookViewId="0">
      <selection activeCell="F309" sqref="F309:F310"/>
    </sheetView>
  </sheetViews>
  <sheetFormatPr defaultColWidth="9.140625" defaultRowHeight="16.5" x14ac:dyDescent="0.3"/>
  <cols>
    <col min="1" max="1" width="5.42578125" style="110" bestFit="1" customWidth="1"/>
    <col min="2" max="2" width="8.42578125" style="110" bestFit="1" customWidth="1"/>
    <col min="3" max="3" width="8.7109375" style="110" bestFit="1" customWidth="1"/>
    <col min="4" max="4" width="45.42578125" style="110" customWidth="1"/>
    <col min="5" max="5" width="12" style="110" customWidth="1"/>
    <col min="6" max="6" width="11.5703125" style="110" bestFit="1" customWidth="1"/>
    <col min="7" max="7" width="14.7109375" style="112" customWidth="1"/>
    <col min="8" max="8" width="17.140625" style="113" customWidth="1"/>
    <col min="9" max="16384" width="9.140625" style="110"/>
  </cols>
  <sheetData>
    <row r="1" spans="1:8" ht="69.599999999999994" customHeight="1" x14ac:dyDescent="0.25">
      <c r="A1" s="145"/>
      <c r="B1" s="145"/>
      <c r="C1" s="145"/>
      <c r="D1" s="145"/>
      <c r="E1" s="145"/>
      <c r="F1" s="145"/>
      <c r="G1" s="145"/>
      <c r="H1" s="145"/>
    </row>
    <row r="2" spans="1:8" ht="54" customHeight="1" x14ac:dyDescent="0.3">
      <c r="A2" s="147" t="s">
        <v>49</v>
      </c>
      <c r="B2" s="148"/>
      <c r="C2" s="148"/>
      <c r="D2" s="148"/>
      <c r="E2" s="148"/>
      <c r="F2" s="148"/>
      <c r="G2" s="148"/>
      <c r="H2" s="148"/>
    </row>
    <row r="3" spans="1:8" ht="21" customHeight="1" x14ac:dyDescent="0.25">
      <c r="A3" s="146" t="str">
        <f>'APÊNDICE II-MEMÓRIA DE CÁLCULO'!A3:L3</f>
        <v>MATERIAL MEDICO HOSPITALAR</v>
      </c>
      <c r="B3" s="146"/>
      <c r="C3" s="146"/>
      <c r="D3" s="146"/>
      <c r="E3" s="146"/>
      <c r="F3" s="146"/>
      <c r="G3" s="146"/>
      <c r="H3" s="146"/>
    </row>
    <row r="4" spans="1:8" ht="49.5" x14ac:dyDescent="0.3">
      <c r="A4" s="2" t="s">
        <v>0</v>
      </c>
      <c r="B4" s="2" t="s">
        <v>16</v>
      </c>
      <c r="C4" s="2" t="s">
        <v>1</v>
      </c>
      <c r="D4" s="2" t="s">
        <v>2</v>
      </c>
      <c r="E4" s="2" t="s">
        <v>8</v>
      </c>
      <c r="F4" s="2" t="s">
        <v>3</v>
      </c>
      <c r="G4" s="22" t="s">
        <v>4</v>
      </c>
      <c r="H4" s="21" t="s">
        <v>5</v>
      </c>
    </row>
    <row r="5" spans="1:8" ht="132" x14ac:dyDescent="0.3">
      <c r="A5" s="1">
        <v>1</v>
      </c>
      <c r="B5" s="10">
        <f>'APÊNDICE II-MEMÓRIA DE CÁLCULO'!B6</f>
        <v>12234</v>
      </c>
      <c r="C5" s="10">
        <f>'APÊNDICE II-MEMÓRIA DE CÁLCULO'!C6</f>
        <v>281657</v>
      </c>
      <c r="D5" s="11" t="str">
        <f>'APÊNDICE II-MEMÓRIA DE CÁLCULO'!D6</f>
        <v>Ácidos graxos essenciais - componentes: óleo de girassol, linolêico, lecitina de soja, associados com vitaminas "A" E "E", composição: composto dos ácidos caprílico, cáprico, láurico, tipo: loção oleosa, apresentação: frasco com 100 ml, características adicionais: embalagem contendo externamente dados de identificação e procedência, lote, validade e registro em órgão competente.</v>
      </c>
      <c r="E5" s="10" t="str">
        <f>'APÊNDICE II-MEMÓRIA DE CÁLCULO'!E6</f>
        <v>FRASCO</v>
      </c>
      <c r="F5" s="27">
        <f>'APÊNDICE II-MEMÓRIA DE CÁLCULO'!L6</f>
        <v>2400</v>
      </c>
      <c r="G5" s="13">
        <f>'APÊNDICE III - MAPA DE PREÇOS'!X5</f>
        <v>11.69</v>
      </c>
      <c r="H5" s="13">
        <f>F5*G5</f>
        <v>28056</v>
      </c>
    </row>
    <row r="6" spans="1:8" ht="115.5" x14ac:dyDescent="0.3">
      <c r="A6" s="1">
        <v>2</v>
      </c>
      <c r="B6" s="10">
        <f>'APÊNDICE II-MEMÓRIA DE CÁLCULO'!B7</f>
        <v>12572</v>
      </c>
      <c r="C6" s="10">
        <f>'APÊNDICE II-MEMÓRIA DE CÁLCULO'!C7</f>
        <v>301728</v>
      </c>
      <c r="D6" s="11" t="str">
        <f>'APÊNDICE II-MEMÓRIA DE CÁLCULO'!D7</f>
        <v xml:space="preserve">Absorvente higiênico externo -  descartável, uso: feminino, adulto, pacote com no mínimo 08 unidades, com abas, fluxo: normal, cobertura: suave, formato anatômico, com canais laterais, absorção eficiente. Embalagem contendo externamente dados de identificação e procedência, data de fabricação, lote e registro em órgão competente. </v>
      </c>
      <c r="E6" s="10" t="str">
        <f>'APÊNDICE II-MEMÓRIA DE CÁLCULO'!E7</f>
        <v>PACOTE</v>
      </c>
      <c r="F6" s="27">
        <f>'APÊNDICE II-MEMÓRIA DE CÁLCULO'!M7</f>
        <v>8000</v>
      </c>
      <c r="G6" s="13">
        <f>'APÊNDICE III - MAPA DE PREÇOS'!X6</f>
        <v>7.08</v>
      </c>
      <c r="H6" s="13">
        <f t="shared" ref="H6:H67" si="0">F6*G6</f>
        <v>56640</v>
      </c>
    </row>
    <row r="7" spans="1:8" ht="148.5" x14ac:dyDescent="0.3">
      <c r="A7" s="1">
        <v>3</v>
      </c>
      <c r="B7" s="10">
        <f>'APÊNDICE II-MEMÓRIA DE CÁLCULO'!B8</f>
        <v>12235</v>
      </c>
      <c r="C7" s="10">
        <f>'APÊNDICE II-MEMÓRIA DE CÁLCULO'!C8</f>
        <v>358051</v>
      </c>
      <c r="D7" s="11" t="str">
        <f>'APÊNDICE II-MEMÓRIA DE CÁLCULO'!D8</f>
        <v xml:space="preserve">Absorvente higiênico externo - tipo: hospitalar, características: com capacidade para grandes fluxos, com boa capacidade absorvente, cobertura interna de falso tecido película anti humidade polpa de flocos absorventes e cobertura externa impermeável, características adicionais: pacote com 20 unidades, embalagem contendo externamente dados de identificação e procedência, data de fabricação, lote e registro em órgão competente. </v>
      </c>
      <c r="E7" s="10" t="str">
        <f>'APÊNDICE II-MEMÓRIA DE CÁLCULO'!E8</f>
        <v>PACOTE</v>
      </c>
      <c r="F7" s="27">
        <f>'APÊNDICE II-MEMÓRIA DE CÁLCULO'!L8</f>
        <v>1600</v>
      </c>
      <c r="G7" s="13">
        <f>'APÊNDICE III - MAPA DE PREÇOS'!X7</f>
        <v>16.579999999999998</v>
      </c>
      <c r="H7" s="13">
        <f t="shared" si="0"/>
        <v>26527.999999999996</v>
      </c>
    </row>
    <row r="8" spans="1:8" ht="82.5" x14ac:dyDescent="0.3">
      <c r="A8" s="1">
        <v>4</v>
      </c>
      <c r="B8" s="10">
        <f>'APÊNDICE II-MEMÓRIA DE CÁLCULO'!B9</f>
        <v>12236</v>
      </c>
      <c r="C8" s="10">
        <f>'APÊNDICE II-MEMÓRIA DE CÁLCULO'!C9</f>
        <v>445470</v>
      </c>
      <c r="D8" s="11" t="str">
        <f>'APÊNDICE II-MEMÓRIA DE CÁLCULO'!D9</f>
        <v>Ácido paracético - concentração: PH 5 à 8,5  capacidade: 5 litros, forma física: solução aquosa, características adicionais: desinfetante esterilizante ácido paracético, baixa toxicidade e não corrosino para metais ferroso e não ferroso, com registro ANVISA.</v>
      </c>
      <c r="E8" s="10" t="str">
        <f>'APÊNDICE II-MEMÓRIA DE CÁLCULO'!E9</f>
        <v>FRASCO</v>
      </c>
      <c r="F8" s="27">
        <f>'APÊNDICE II-MEMÓRIA DE CÁLCULO'!L9</f>
        <v>52</v>
      </c>
      <c r="G8" s="13">
        <f>'APÊNDICE III - MAPA DE PREÇOS'!X8</f>
        <v>218.11</v>
      </c>
      <c r="H8" s="13">
        <f t="shared" si="0"/>
        <v>11341.720000000001</v>
      </c>
    </row>
    <row r="9" spans="1:8" ht="99" x14ac:dyDescent="0.3">
      <c r="A9" s="1">
        <v>5</v>
      </c>
      <c r="B9" s="10">
        <f>'APÊNDICE II-MEMÓRIA DE CÁLCULO'!B10</f>
        <v>12237</v>
      </c>
      <c r="C9" s="10">
        <f>'APÊNDICE II-MEMÓRIA DE CÁLCULO'!C10</f>
        <v>277319</v>
      </c>
      <c r="D9" s="11" t="str">
        <f>'APÊNDICE II-MEMÓRIA DE CÁLCULO'!D10</f>
        <v>Peróxido de hidrogênio, (água oxigenada), tipo: 10 volumes, capacidade: frasco com 1 litro, uso: hospitalar, características adicionais: embalagem fosca, com dados de identificação e procedência, data de fabricação, tempo de validade e registro em órgão competente.</v>
      </c>
      <c r="E9" s="10" t="str">
        <f>'APÊNDICE II-MEMÓRIA DE CÁLCULO'!E10</f>
        <v>FRASCO</v>
      </c>
      <c r="F9" s="27">
        <f>'APÊNDICE II-MEMÓRIA DE CÁLCULO'!L10</f>
        <v>108</v>
      </c>
      <c r="G9" s="13">
        <f>'APÊNDICE III - MAPA DE PREÇOS'!X9</f>
        <v>9.7799999999999994</v>
      </c>
      <c r="H9" s="13">
        <f t="shared" si="0"/>
        <v>1056.24</v>
      </c>
    </row>
    <row r="10" spans="1:8" ht="82.5" x14ac:dyDescent="0.3">
      <c r="A10" s="1">
        <v>6</v>
      </c>
      <c r="B10" s="10">
        <f>'APÊNDICE II-MEMÓRIA DE CÁLCULO'!B11</f>
        <v>12238</v>
      </c>
      <c r="C10" s="10">
        <f>'APÊNDICE II-MEMÓRIA DE CÁLCULO'!C11</f>
        <v>269941</v>
      </c>
      <c r="D10" s="11" t="str">
        <f>'APÊNDICE II-MEMÓRIA DE CÁLCULO'!D11</f>
        <v>Álcool etílico - teor alcoólico: 70% (70°) apresentação: líquido, tipo: hidratado, capacidade: frasco com 1 litro, características adicionais: embalagem com dados de identificação e procedência, data de fabricação, tempo de validade e registro em órgão competente.</v>
      </c>
      <c r="E10" s="10" t="str">
        <f>'APÊNDICE II-MEMÓRIA DE CÁLCULO'!E11</f>
        <v>FRASCO</v>
      </c>
      <c r="F10" s="27">
        <f>'APÊNDICE II-MEMÓRIA DE CÁLCULO'!L11</f>
        <v>2820</v>
      </c>
      <c r="G10" s="13">
        <f>'APÊNDICE III - MAPA DE PREÇOS'!X10</f>
        <v>8.2899999999999991</v>
      </c>
      <c r="H10" s="13">
        <f t="shared" si="0"/>
        <v>23377.8</v>
      </c>
    </row>
    <row r="11" spans="1:8" ht="198" x14ac:dyDescent="0.3">
      <c r="A11" s="1">
        <v>7</v>
      </c>
      <c r="B11" s="10">
        <f>'APÊNDICE II-MEMÓRIA DE CÁLCULO'!B12</f>
        <v>12240</v>
      </c>
      <c r="C11" s="10" t="str">
        <f>'APÊNDICE II-MEMÓRIA DE CÁLCULO'!C12</f>
        <v>-</v>
      </c>
      <c r="D11" s="11" t="str">
        <f>'APÊNDICE II-MEMÓRIA DE CÁLCULO'!D12</f>
        <v>Agulha hipodérmica - uso: descartável, dimensão: 13x4,5mm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1" s="10" t="str">
        <f>'APÊNDICE II-MEMÓRIA DE CÁLCULO'!E12</f>
        <v>UNIDADE</v>
      </c>
      <c r="F11" s="27">
        <f>'APÊNDICE II-MEMÓRIA DE CÁLCULO'!L12</f>
        <v>3600</v>
      </c>
      <c r="G11" s="13">
        <f>'APÊNDICE III - MAPA DE PREÇOS'!X11</f>
        <v>0.1</v>
      </c>
      <c r="H11" s="13">
        <f t="shared" si="0"/>
        <v>360</v>
      </c>
    </row>
    <row r="12" spans="1:8" ht="198" x14ac:dyDescent="0.3">
      <c r="A12" s="1">
        <v>8</v>
      </c>
      <c r="B12" s="10">
        <f>'APÊNDICE II-MEMÓRIA DE CÁLCULO'!B13</f>
        <v>12241</v>
      </c>
      <c r="C12" s="10" t="str">
        <f>'APÊNDICE II-MEMÓRIA DE CÁLCULO'!C13</f>
        <v>-</v>
      </c>
      <c r="D12" s="11" t="str">
        <f>'APÊNDICE II-MEMÓRIA DE CÁLCULO'!D13</f>
        <v>Agulha hipodérmica - uso: descartável, dimensão: 25x7mm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2" s="10" t="str">
        <f>'APÊNDICE II-MEMÓRIA DE CÁLCULO'!E13</f>
        <v>UNIDADE</v>
      </c>
      <c r="F12" s="27">
        <f>'APÊNDICE II-MEMÓRIA DE CÁLCULO'!L13</f>
        <v>70000</v>
      </c>
      <c r="G12" s="13">
        <f>'APÊNDICE III - MAPA DE PREÇOS'!X12</f>
        <v>0.08</v>
      </c>
      <c r="H12" s="13">
        <f t="shared" si="0"/>
        <v>5600</v>
      </c>
    </row>
    <row r="13" spans="1:8" ht="198" x14ac:dyDescent="0.3">
      <c r="A13" s="1">
        <v>9</v>
      </c>
      <c r="B13" s="10">
        <f>'APÊNDICE II-MEMÓRIA DE CÁLCULO'!B14</f>
        <v>12242</v>
      </c>
      <c r="C13" s="10">
        <f>'APÊNDICE II-MEMÓRIA DE CÁLCULO'!C14</f>
        <v>397511</v>
      </c>
      <c r="D13" s="11" t="str">
        <f>'APÊNDICE II-MEMÓRIA DE CÁLCULO'!D14</f>
        <v>Agulha hipodérmica - uso: descartável, dimensão: 25x8mm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3" s="10" t="str">
        <f>'APÊNDICE II-MEMÓRIA DE CÁLCULO'!E14</f>
        <v>UNIDADE</v>
      </c>
      <c r="F13" s="27">
        <f>'APÊNDICE II-MEMÓRIA DE CÁLCULO'!L14</f>
        <v>53800</v>
      </c>
      <c r="G13" s="13">
        <f>'APÊNDICE III - MAPA DE PREÇOS'!X13</f>
        <v>0.08</v>
      </c>
      <c r="H13" s="13">
        <f t="shared" si="0"/>
        <v>4304</v>
      </c>
    </row>
    <row r="14" spans="1:8" ht="198" x14ac:dyDescent="0.3">
      <c r="A14" s="1">
        <v>10</v>
      </c>
      <c r="B14" s="10">
        <f>'APÊNDICE II-MEMÓRIA DE CÁLCULO'!B15</f>
        <v>12243</v>
      </c>
      <c r="C14" s="10">
        <f>'APÊNDICE II-MEMÓRIA DE CÁLCULO'!C15</f>
        <v>439811</v>
      </c>
      <c r="D14" s="11" t="str">
        <f>'APÊNDICE II-MEMÓRIA DE CÁLCULO'!D15</f>
        <v>Agulha hipodérmica - uso: descartável, dimensão: 0,55x20mm, 24G 3/4 -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4" s="10" t="str">
        <f>'APÊNDICE II-MEMÓRIA DE CÁLCULO'!E15</f>
        <v>UNIDADE</v>
      </c>
      <c r="F14" s="27">
        <f>'APÊNDICE II-MEMÓRIA DE CÁLCULO'!L15</f>
        <v>1500</v>
      </c>
      <c r="G14" s="13">
        <f>'APÊNDICE III - MAPA DE PREÇOS'!X14</f>
        <v>0.08</v>
      </c>
      <c r="H14" s="13">
        <f t="shared" si="0"/>
        <v>120</v>
      </c>
    </row>
    <row r="15" spans="1:8" ht="198" x14ac:dyDescent="0.3">
      <c r="A15" s="1">
        <v>11</v>
      </c>
      <c r="B15" s="10">
        <f>'APÊNDICE II-MEMÓRIA DE CÁLCULO'!B16</f>
        <v>12244</v>
      </c>
      <c r="C15" s="10">
        <f>'APÊNDICE II-MEMÓRIA DE CÁLCULO'!C16</f>
        <v>439810</v>
      </c>
      <c r="D15" s="11" t="str">
        <f>'APÊNDICE II-MEMÓRIA DE CÁLCULO'!D16</f>
        <v>Agulha hipodérmica - uso: descartável, dimensão: 0,60x25mm, 23G 1''-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5" s="10" t="str">
        <f>'APÊNDICE II-MEMÓRIA DE CÁLCULO'!E16</f>
        <v>UNIDADE</v>
      </c>
      <c r="F15" s="27">
        <f>'APÊNDICE II-MEMÓRIA DE CÁLCULO'!L16</f>
        <v>3300</v>
      </c>
      <c r="G15" s="13">
        <f>'APÊNDICE III - MAPA DE PREÇOS'!X15</f>
        <v>0.13</v>
      </c>
      <c r="H15" s="13">
        <f t="shared" si="0"/>
        <v>429</v>
      </c>
    </row>
    <row r="16" spans="1:8" ht="198" x14ac:dyDescent="0.3">
      <c r="A16" s="1">
        <v>12</v>
      </c>
      <c r="B16" s="10">
        <f>'APÊNDICE II-MEMÓRIA DE CÁLCULO'!B17</f>
        <v>12245</v>
      </c>
      <c r="C16" s="10">
        <f>'APÊNDICE II-MEMÓRIA DE CÁLCULO'!C17</f>
        <v>439813</v>
      </c>
      <c r="D16" s="11" t="str">
        <f>'APÊNDICE II-MEMÓRIA DE CÁLCULO'!D17</f>
        <v>Agulha hipodérmica - uso: descartável, dimensão: 13x0,38mm, (27G X1/2),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6" s="10" t="str">
        <f>'APÊNDICE II-MEMÓRIA DE CÁLCULO'!E17</f>
        <v>UNIDADE</v>
      </c>
      <c r="F16" s="27">
        <f>'APÊNDICE II-MEMÓRIA DE CÁLCULO'!L17</f>
        <v>3200</v>
      </c>
      <c r="G16" s="13">
        <f>'APÊNDICE III - MAPA DE PREÇOS'!X16</f>
        <v>0.21</v>
      </c>
      <c r="H16" s="13">
        <f t="shared" si="0"/>
        <v>672</v>
      </c>
    </row>
    <row r="17" spans="1:8" ht="181.5" x14ac:dyDescent="0.3">
      <c r="A17" s="1">
        <v>13</v>
      </c>
      <c r="B17" s="10">
        <f>'APÊNDICE II-MEMÓRIA DE CÁLCULO'!B18</f>
        <v>12246</v>
      </c>
      <c r="C17" s="10">
        <f>'APÊNDICE II-MEMÓRIA DE CÁLCULO'!C18</f>
        <v>279726</v>
      </c>
      <c r="D17" s="11" t="str">
        <f>'APÊNDICE II-MEMÓRIA DE CÁLCULO'!D18</f>
        <v>Algodão, tipo: hidrófilo - apresentação: pacote com rolo de 500 g, medidas: mínimo de 20 cm de largura, características adicionais: manta fina, com camadas sobrepostas, formando uma manta de espessura uniforme, regularmente compacto, de aspecto homogêneo e macio, cor branca, boa capacidade de absorção, inodoro, em forma de rolo, enrolado em papel apropriado em toda a sua  extensão. Embalagem contendo externamente dados de identificação e procedência, lote validade e registro de isenção no Ministério da Saúde.</v>
      </c>
      <c r="E17" s="10" t="str">
        <f>'APÊNDICE II-MEMÓRIA DE CÁLCULO'!E18</f>
        <v>PACOTE</v>
      </c>
      <c r="F17" s="27">
        <f>'APÊNDICE II-MEMÓRIA DE CÁLCULO'!L18</f>
        <v>962</v>
      </c>
      <c r="G17" s="13">
        <f>'APÊNDICE III - MAPA DE PREÇOS'!X17</f>
        <v>17.68</v>
      </c>
      <c r="H17" s="13">
        <f t="shared" si="0"/>
        <v>17008.16</v>
      </c>
    </row>
    <row r="18" spans="1:8" ht="148.5" x14ac:dyDescent="0.3">
      <c r="A18" s="1">
        <v>14</v>
      </c>
      <c r="B18" s="10">
        <f>'APÊNDICE II-MEMÓRIA DE CÁLCULO'!B19</f>
        <v>12247</v>
      </c>
      <c r="C18" s="10">
        <f>'APÊNDICE II-MEMÓRIA DE CÁLCULO'!C19</f>
        <v>448248</v>
      </c>
      <c r="D18" s="11" t="str">
        <f>'APÊNDICE II-MEMÓRIA DE CÁLCULO'!D19</f>
        <v xml:space="preserve">Algodão, tipo:ortopédico - medidas: 20 cm de largura, 1,80 m de comprimento, apresentação: pacote com rolo de 420g, confeccionado com fibras de puro algodão, com camadas contínuas em forma de rolo, provido de papel em toda a sua extensão, cor natural da fibra do algodão, com relativa impermeabilidade. Embalagem individual contendo externamente dados de identificação e procedência, lote, validade e registro de isenção no Ministério da Saúde. </v>
      </c>
      <c r="E18" s="10" t="str">
        <f>'APÊNDICE II-MEMÓRIA DE CÁLCULO'!E19</f>
        <v>ROLO</v>
      </c>
      <c r="F18" s="27">
        <f>'APÊNDICE II-MEMÓRIA DE CÁLCULO'!L19</f>
        <v>240</v>
      </c>
      <c r="G18" s="13">
        <f>'APÊNDICE III - MAPA DE PREÇOS'!X18</f>
        <v>14.44</v>
      </c>
      <c r="H18" s="13">
        <f t="shared" si="0"/>
        <v>3465.6</v>
      </c>
    </row>
    <row r="19" spans="1:8" ht="181.5" x14ac:dyDescent="0.3">
      <c r="A19" s="1">
        <v>15</v>
      </c>
      <c r="B19" s="10">
        <f>'APÊNDICE II-MEMÓRIA DE CÁLCULO'!B20</f>
        <v>12248</v>
      </c>
      <c r="C19" s="10">
        <f>'APÊNDICE II-MEMÓRIA DE CÁLCULO'!C20</f>
        <v>444355</v>
      </c>
      <c r="D19" s="11" t="str">
        <f>'APÊNDICE II-MEMÓRIA DE CÁLCULO'!D20</f>
        <v>Atadura, tipo: crepe - medidas: 10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19" s="10" t="str">
        <f>'APÊNDICE II-MEMÓRIA DE CÁLCULO'!E20</f>
        <v>ROLO</v>
      </c>
      <c r="F19" s="27">
        <f>'APÊNDICE II-MEMÓRIA DE CÁLCULO'!L20</f>
        <v>6826</v>
      </c>
      <c r="G19" s="13">
        <f>'APÊNDICE III - MAPA DE PREÇOS'!X19</f>
        <v>0.6</v>
      </c>
      <c r="H19" s="13">
        <f t="shared" si="0"/>
        <v>4095.6</v>
      </c>
    </row>
    <row r="20" spans="1:8" ht="181.5" x14ac:dyDescent="0.3">
      <c r="A20" s="1">
        <v>16</v>
      </c>
      <c r="B20" s="10">
        <f>'APÊNDICE II-MEMÓRIA DE CÁLCULO'!B21</f>
        <v>12249</v>
      </c>
      <c r="C20" s="10">
        <f>'APÊNDICE II-MEMÓRIA DE CÁLCULO'!C21</f>
        <v>444365</v>
      </c>
      <c r="D20" s="11" t="str">
        <f>'APÊNDICE II-MEMÓRIA DE CÁLCULO'!D21</f>
        <v>Atadura, tipo: crepe - medidas: 15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20" s="10" t="str">
        <f>'APÊNDICE II-MEMÓRIA DE CÁLCULO'!E21</f>
        <v>ROLO</v>
      </c>
      <c r="F20" s="27">
        <f>'APÊNDICE II-MEMÓRIA DE CÁLCULO'!L21</f>
        <v>21643</v>
      </c>
      <c r="G20" s="13">
        <f>'APÊNDICE III - MAPA DE PREÇOS'!X20</f>
        <v>0.81</v>
      </c>
      <c r="H20" s="13">
        <f t="shared" si="0"/>
        <v>17530.830000000002</v>
      </c>
    </row>
    <row r="21" spans="1:8" ht="181.5" x14ac:dyDescent="0.3">
      <c r="A21" s="1">
        <v>17</v>
      </c>
      <c r="B21" s="10">
        <f>'APÊNDICE II-MEMÓRIA DE CÁLCULO'!B22</f>
        <v>12250</v>
      </c>
      <c r="C21" s="10">
        <f>'APÊNDICE II-MEMÓRIA DE CÁLCULO'!C22</f>
        <v>444371</v>
      </c>
      <c r="D21" s="11" t="str">
        <f>'APÊNDICE II-MEMÓRIA DE CÁLCULO'!D22</f>
        <v>Atadura, tipo: crepe - medidas: 20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21" s="10" t="str">
        <f>'APÊNDICE II-MEMÓRIA DE CÁLCULO'!E22</f>
        <v>ROLO</v>
      </c>
      <c r="F21" s="27">
        <f>'APÊNDICE II-MEMÓRIA DE CÁLCULO'!L22</f>
        <v>4111</v>
      </c>
      <c r="G21" s="13">
        <f>'APÊNDICE III - MAPA DE PREÇOS'!X21</f>
        <v>0.82</v>
      </c>
      <c r="H21" s="13">
        <f t="shared" si="0"/>
        <v>3371.02</v>
      </c>
    </row>
    <row r="22" spans="1:8" ht="198" x14ac:dyDescent="0.3">
      <c r="A22" s="1">
        <v>18</v>
      </c>
      <c r="B22" s="10">
        <f>'APÊNDICE II-MEMÓRIA DE CÁLCULO'!B23</f>
        <v>12251</v>
      </c>
      <c r="C22" s="10">
        <f>'APÊNDICE II-MEMÓRIA DE CÁLCULO'!C23</f>
        <v>444610</v>
      </c>
      <c r="D22" s="11" t="str">
        <f>'APÊNDICE II-MEMÓRIA DE CÁLCULO'!D23</f>
        <v xml:space="preserve">Atadura, tipo: gessada - medidas: 10 cm de largura e 3,0 m,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2" s="10" t="str">
        <f>'APÊNDICE II-MEMÓRIA DE CÁLCULO'!E23</f>
        <v>ROLO</v>
      </c>
      <c r="F22" s="27">
        <f>'APÊNDICE II-MEMÓRIA DE CÁLCULO'!L23</f>
        <v>620</v>
      </c>
      <c r="G22" s="13">
        <f>'APÊNDICE III - MAPA DE PREÇOS'!X22</f>
        <v>2.5099999999999998</v>
      </c>
      <c r="H22" s="13">
        <f t="shared" si="0"/>
        <v>1556.1999999999998</v>
      </c>
    </row>
    <row r="23" spans="1:8" ht="198" x14ac:dyDescent="0.3">
      <c r="A23" s="1">
        <v>19</v>
      </c>
      <c r="B23" s="10">
        <f>'APÊNDICE II-MEMÓRIA DE CÁLCULO'!B24</f>
        <v>12252</v>
      </c>
      <c r="C23" s="10">
        <f>'APÊNDICE II-MEMÓRIA DE CÁLCULO'!C24</f>
        <v>444613</v>
      </c>
      <c r="D23" s="11" t="str">
        <f>'APÊNDICE II-MEMÓRIA DE CÁLCULO'!D24</f>
        <v xml:space="preserve">Atadura, tipo: gessada - medidas: 15 cm de largura e 3,0 m, de comprimento, gaze estabilizada, impregnada com gesso coloidal e com lateral de corte sinuoso para evitar desfiamento e consequentemente o garroteamento na aplicação, sem emendas, na cor branca, saturável com água a temperatura de 2,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3" s="10" t="str">
        <f>'APÊNDICE II-MEMÓRIA DE CÁLCULO'!E24</f>
        <v>ROLO</v>
      </c>
      <c r="F23" s="27">
        <f>'APÊNDICE II-MEMÓRIA DE CÁLCULO'!L24</f>
        <v>607</v>
      </c>
      <c r="G23" s="13">
        <f>'APÊNDICE III - MAPA DE PREÇOS'!X23</f>
        <v>5.38</v>
      </c>
      <c r="H23" s="13">
        <f t="shared" si="0"/>
        <v>3265.66</v>
      </c>
    </row>
    <row r="24" spans="1:8" ht="198" x14ac:dyDescent="0.3">
      <c r="A24" s="1">
        <v>20</v>
      </c>
      <c r="B24" s="10">
        <f>'APÊNDICE II-MEMÓRIA DE CÁLCULO'!B25</f>
        <v>12253</v>
      </c>
      <c r="C24" s="10">
        <f>'APÊNDICE II-MEMÓRIA DE CÁLCULO'!C25</f>
        <v>444614</v>
      </c>
      <c r="D24" s="11" t="str">
        <f>'APÊNDICE II-MEMÓRIA DE CÁLCULO'!D25</f>
        <v xml:space="preserve">Atadura, tipo: gessada - medidas: 20 cm de largura e 4,0 m,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4" s="10" t="str">
        <f>'APÊNDICE II-MEMÓRIA DE CÁLCULO'!E25</f>
        <v>ROLO</v>
      </c>
      <c r="F24" s="27">
        <f>'APÊNDICE II-MEMÓRIA DE CÁLCULO'!L25</f>
        <v>280</v>
      </c>
      <c r="G24" s="13">
        <f>'APÊNDICE III - MAPA DE PREÇOS'!X24</f>
        <v>5.35</v>
      </c>
      <c r="H24" s="13">
        <f t="shared" si="0"/>
        <v>1498</v>
      </c>
    </row>
    <row r="25" spans="1:8" ht="148.5" x14ac:dyDescent="0.3">
      <c r="A25" s="1">
        <v>21</v>
      </c>
      <c r="B25" s="10">
        <f>'APÊNDICE II-MEMÓRIA DE CÁLCULO'!B26</f>
        <v>12254</v>
      </c>
      <c r="C25" s="10">
        <f>'APÊNDICE II-MEMÓRIA DE CÁLCULO'!C26</f>
        <v>348807</v>
      </c>
      <c r="D25" s="11" t="str">
        <f>'APÊNDICE II-MEMÓRIA DE CÁLCULO'!D26</f>
        <v xml:space="preserve">Abaixador de língua - material: madeira, tipo: descartável de uso único, formato: espátula convencional com extremidade arredondada, sem rebarbas, dimensões aproximadas: largura: 1,4cm, comprimento: 14cm, espessura: 0,5mm, apresentação: pacote com 100 unidades, características adicionais: Embalagem contendo dados de identificação, procedência, lote, validade e registro em órgão competente.  </v>
      </c>
      <c r="E25" s="10" t="str">
        <f>'APÊNDICE II-MEMÓRIA DE CÁLCULO'!E26</f>
        <v>PACOTE</v>
      </c>
      <c r="F25" s="27">
        <f>'APÊNDICE II-MEMÓRIA DE CÁLCULO'!L26</f>
        <v>264</v>
      </c>
      <c r="G25" s="13">
        <f>'APÊNDICE III - MAPA DE PREÇOS'!X25</f>
        <v>5.37</v>
      </c>
      <c r="H25" s="13">
        <f t="shared" si="0"/>
        <v>1417.68</v>
      </c>
    </row>
    <row r="26" spans="1:8" ht="115.5" x14ac:dyDescent="0.3">
      <c r="A26" s="1">
        <v>22</v>
      </c>
      <c r="B26" s="10">
        <f>'APÊNDICE II-MEMÓRIA DE CÁLCULO'!B27</f>
        <v>12255</v>
      </c>
      <c r="C26" s="10">
        <f>'APÊNDICE II-MEMÓRIA DE CÁLCULO'!C27</f>
        <v>456409</v>
      </c>
      <c r="D26" s="11" t="str">
        <f>'APÊNDICE II-MEMÓRIA DE CÁLCULO'!D27</f>
        <v xml:space="preserve">Ambú reanimador, tamanho: adulto, material: silicone transparente, características: com reservatório de O2., de 1500 a 1700ml, com balão de insuflação transparente facilita o uso, a assepsia e a visualização de resíduos. Embalagem contendo data de validade, dados de identificação e registro no Ministério da Saúde. </v>
      </c>
      <c r="E26" s="10" t="str">
        <f>'APÊNDICE II-MEMÓRIA DE CÁLCULO'!E27</f>
        <v>UNIDADE</v>
      </c>
      <c r="F26" s="27">
        <f>'APÊNDICE II-MEMÓRIA DE CÁLCULO'!L27</f>
        <v>170</v>
      </c>
      <c r="G26" s="13">
        <f>'APÊNDICE III - MAPA DE PREÇOS'!X26</f>
        <v>158.26</v>
      </c>
      <c r="H26" s="13">
        <f t="shared" si="0"/>
        <v>26904.199999999997</v>
      </c>
    </row>
    <row r="27" spans="1:8" ht="99" x14ac:dyDescent="0.3">
      <c r="A27" s="1">
        <v>23</v>
      </c>
      <c r="B27" s="10">
        <f>'APÊNDICE II-MEMÓRIA DE CÁLCULO'!B28</f>
        <v>12256</v>
      </c>
      <c r="C27" s="10">
        <f>'APÊNDICE II-MEMÓRIA DE CÁLCULO'!C28</f>
        <v>456413</v>
      </c>
      <c r="D27" s="11" t="str">
        <f>'APÊNDICE II-MEMÓRIA DE CÁLCULO'!D28</f>
        <v>Ambú reanimador - tamanho: infantil, material: silicone transparente, características: com reservatório de O2.,de 1500ml, com balão de insuflação transparente facilita o uso, a assepsia e a visualização de resíduos. Embalagem contendo data de validade, dados de identificação e registro no Ministério da Saúde.</v>
      </c>
      <c r="E27" s="10" t="str">
        <f>'APÊNDICE II-MEMÓRIA DE CÁLCULO'!E28</f>
        <v>UNIDADE</v>
      </c>
      <c r="F27" s="27">
        <f>'APÊNDICE II-MEMÓRIA DE CÁLCULO'!L28</f>
        <v>24</v>
      </c>
      <c r="G27" s="13">
        <f>'APÊNDICE III - MAPA DE PREÇOS'!X27</f>
        <v>131.15</v>
      </c>
      <c r="H27" s="13">
        <f t="shared" si="0"/>
        <v>3147.6000000000004</v>
      </c>
    </row>
    <row r="28" spans="1:8" ht="49.5" x14ac:dyDescent="0.3">
      <c r="A28" s="1">
        <v>24</v>
      </c>
      <c r="B28" s="10">
        <f>'APÊNDICE II-MEMÓRIA DE CÁLCULO'!B29</f>
        <v>12257</v>
      </c>
      <c r="C28" s="10">
        <f>'APÊNDICE II-MEMÓRIA DE CÁLCULO'!C29</f>
        <v>434250</v>
      </c>
      <c r="D28" s="11" t="str">
        <f>'APÊNDICE II-MEMÓRIA DE CÁLCULO'!D29</f>
        <v xml:space="preserve">Avental hospitalar - tipo: descartável, material: TNT, gramatura: 40 G, modelo: manga longa, tamanho: único. </v>
      </c>
      <c r="E28" s="10" t="str">
        <f>'APÊNDICE II-MEMÓRIA DE CÁLCULO'!E29</f>
        <v>UNIDADE</v>
      </c>
      <c r="F28" s="27">
        <f>'APÊNDICE II-MEMÓRIA DE CÁLCULO'!L29</f>
        <v>1800</v>
      </c>
      <c r="G28" s="13">
        <f>'APÊNDICE III - MAPA DE PREÇOS'!X28</f>
        <v>3.13</v>
      </c>
      <c r="H28" s="13">
        <f t="shared" si="0"/>
        <v>5634</v>
      </c>
    </row>
    <row r="29" spans="1:8" ht="177" customHeight="1" x14ac:dyDescent="0.25">
      <c r="A29" s="1">
        <v>25</v>
      </c>
      <c r="B29" s="10">
        <f>'APÊNDICE II-MEMÓRIA DE CÁLCULO'!B30</f>
        <v>12258</v>
      </c>
      <c r="C29" s="10" t="str">
        <f>'APÊNDICE II-MEMÓRIA DE CÁLCULO'!C30</f>
        <v>-</v>
      </c>
      <c r="D29" s="11" t="str">
        <f>'APÊNDICE II-MEMÓRIA DE CÁLCULO'!D30</f>
        <v>Bolsa para colostomia fechada - opaca recortável 19-64 mm. Descartável com orifício 19-64 mm -confeccionada em plástico, adesivo hipoalergênico recortável de 19mm a 64 mm. Com proteção ante odor, drenável com clipe de selagem individual, com adesivo micropore e placa com protetor cutâneo hipoalergênico. Embalagem contendo externamente dados de identificação e procedência, data de fabricação, lote e registro em órgão competente.</v>
      </c>
      <c r="E29" s="10" t="str">
        <f>'APÊNDICE II-MEMÓRIA DE CÁLCULO'!E30</f>
        <v>UNIDADE</v>
      </c>
      <c r="F29" s="27">
        <f>'APÊNDICE II-MEMÓRIA DE CÁLCULO'!L30</f>
        <v>1000</v>
      </c>
      <c r="G29" s="13">
        <f>'APÊNDICE III - MAPA DE PREÇOS'!X29</f>
        <v>14.25</v>
      </c>
      <c r="H29" s="13">
        <f t="shared" si="0"/>
        <v>14250</v>
      </c>
    </row>
    <row r="30" spans="1:8" ht="132" x14ac:dyDescent="0.3">
      <c r="A30" s="1">
        <v>26</v>
      </c>
      <c r="B30" s="10">
        <f>'APÊNDICE II-MEMÓRIA DE CÁLCULO'!B31</f>
        <v>16608</v>
      </c>
      <c r="C30" s="10" t="str">
        <f>'APÊNDICE II-MEMÓRIA DE CÁLCULO'!C31</f>
        <v>-</v>
      </c>
      <c r="D30" s="11" t="str">
        <f>'APÊNDICE II-MEMÓRIA DE CÁLCULO'!D31</f>
        <v>Bolsa coletora de urina - tipo: infantil, uso: descartável, modelo: unissex, características adicionais: com furo recortado no modelo unissex com furo oval, com fita adesiva dupla face, hipoalérgica, resistente e que não desprende do conjunto, composto por saco com comprimento de 17 cm e largura de 10 cm, com um furo pré-cortado e com película protetora não aderente e destacável.</v>
      </c>
      <c r="E30" s="10" t="str">
        <f>'APÊNDICE II-MEMÓRIA DE CÁLCULO'!E31</f>
        <v>UNIDADE</v>
      </c>
      <c r="F30" s="27">
        <f>'APÊNDICE II-MEMÓRIA DE CÁLCULO'!L31</f>
        <v>317</v>
      </c>
      <c r="G30" s="13">
        <f>'APÊNDICE III - MAPA DE PREÇOS'!X30</f>
        <v>0.56000000000000005</v>
      </c>
      <c r="H30" s="13">
        <f t="shared" si="0"/>
        <v>177.52</v>
      </c>
    </row>
    <row r="31" spans="1:8" ht="49.5" x14ac:dyDescent="0.3">
      <c r="A31" s="1">
        <v>27</v>
      </c>
      <c r="B31" s="10">
        <f>'APÊNDICE II-MEMÓRIA DE CÁLCULO'!B32</f>
        <v>12260</v>
      </c>
      <c r="C31" s="10" t="str">
        <f>'APÊNDICE II-MEMÓRIA DE CÁLCULO'!C32</f>
        <v>-</v>
      </c>
      <c r="D31" s="11" t="str">
        <f>'APÊNDICE II-MEMÓRIA DE CÁLCULO'!D32</f>
        <v>Bolsa para colostomia com disco - transparente, medidas aproximadas: de 20 à 70mm, apresentação: pacote com 10 unidades.</v>
      </c>
      <c r="E31" s="10" t="str">
        <f>'APÊNDICE II-MEMÓRIA DE CÁLCULO'!E32</f>
        <v>PACOTE</v>
      </c>
      <c r="F31" s="27">
        <f>'APÊNDICE II-MEMÓRIA DE CÁLCULO'!L32</f>
        <v>130</v>
      </c>
      <c r="G31" s="13">
        <f>'APÊNDICE III - MAPA DE PREÇOS'!X31</f>
        <v>233.48</v>
      </c>
      <c r="H31" s="13">
        <f t="shared" si="0"/>
        <v>30352.399999999998</v>
      </c>
    </row>
    <row r="32" spans="1:8" ht="99" x14ac:dyDescent="0.3">
      <c r="A32" s="1">
        <v>28</v>
      </c>
      <c r="B32" s="10">
        <f>'APÊNDICE II-MEMÓRIA DE CÁLCULO'!B33</f>
        <v>12261</v>
      </c>
      <c r="C32" s="10" t="str">
        <f>'APÊNDICE II-MEMÓRIA DE CÁLCULO'!C33</f>
        <v>-</v>
      </c>
      <c r="D32" s="11" t="str">
        <f>'APÊNDICE II-MEMÓRIA DE CÁLCULO'!D33</f>
        <v>Bolsa para ampola - material: nylon 600, dimensões aproximadas: 45cm x 33cm, características adicionais: revestido com plástico transparente para proteção contra água e sujeiras, portando fitas refletivas na frente e nas costas e diversos bolsos distribuídos na bolsa, padrão SAMU.</v>
      </c>
      <c r="E32" s="10" t="str">
        <f>'APÊNDICE II-MEMÓRIA DE CÁLCULO'!E33</f>
        <v>UNIDADE</v>
      </c>
      <c r="F32" s="27">
        <f>'APÊNDICE II-MEMÓRIA DE CÁLCULO'!L33</f>
        <v>3</v>
      </c>
      <c r="G32" s="13">
        <f>'APÊNDICE III - MAPA DE PREÇOS'!X32</f>
        <v>154.97999999999999</v>
      </c>
      <c r="H32" s="13">
        <f t="shared" si="0"/>
        <v>464.93999999999994</v>
      </c>
    </row>
    <row r="33" spans="1:8" ht="49.5" x14ac:dyDescent="0.3">
      <c r="A33" s="1">
        <v>29</v>
      </c>
      <c r="B33" s="10">
        <f>'APÊNDICE II-MEMÓRIA DE CÁLCULO'!B34</f>
        <v>12262</v>
      </c>
      <c r="C33" s="10">
        <f>'APÊNDICE II-MEMÓRIA DE CÁLCULO'!C34</f>
        <v>468979</v>
      </c>
      <c r="D33" s="11" t="str">
        <f>'APÊNDICE II-MEMÓRIA DE CÁLCULO'!D34</f>
        <v>Bolsa para equipamentos de sinais vitais - material: nylon, dimensões aproximadas: 10cm de largura, 41cm de comprimento, 28cm de altura.</v>
      </c>
      <c r="E33" s="10" t="str">
        <f>'APÊNDICE II-MEMÓRIA DE CÁLCULO'!E34</f>
        <v>UNIDADE</v>
      </c>
      <c r="F33" s="27">
        <f>'APÊNDICE II-MEMÓRIA DE CÁLCULO'!L34</f>
        <v>3</v>
      </c>
      <c r="G33" s="13">
        <f>'APÊNDICE III - MAPA DE PREÇOS'!X33</f>
        <v>174.25</v>
      </c>
      <c r="H33" s="13">
        <f t="shared" si="0"/>
        <v>522.75</v>
      </c>
    </row>
    <row r="34" spans="1:8" ht="82.5" x14ac:dyDescent="0.3">
      <c r="A34" s="1">
        <v>30</v>
      </c>
      <c r="B34" s="10">
        <f>'APÊNDICE II-MEMÓRIA DE CÁLCULO'!B35</f>
        <v>12263</v>
      </c>
      <c r="C34" s="10">
        <f>'APÊNDICE II-MEMÓRIA DE CÁLCULO'!C35</f>
        <v>484404</v>
      </c>
      <c r="D34" s="11" t="str">
        <f>'APÊNDICE II-MEMÓRIA DE CÁLCULO'!D35</f>
        <v>Bolsa para resgate - material: Nylon, resistente, características adicionais: cor laranja e azul, desenvolvida com tecido resistente e 90% impermeável, com alça de mão, cursores de abertura total e compartimentos nas laterais.</v>
      </c>
      <c r="E34" s="10" t="str">
        <f>'APÊNDICE II-MEMÓRIA DE CÁLCULO'!E35</f>
        <v>UNIDADE</v>
      </c>
      <c r="F34" s="27">
        <f>'APÊNDICE II-MEMÓRIA DE CÁLCULO'!L35</f>
        <v>3</v>
      </c>
      <c r="G34" s="13">
        <f>'APÊNDICE III - MAPA DE PREÇOS'!X34</f>
        <v>310.39</v>
      </c>
      <c r="H34" s="13">
        <f t="shared" si="0"/>
        <v>931.17</v>
      </c>
    </row>
    <row r="35" spans="1:8" ht="115.5" x14ac:dyDescent="0.3">
      <c r="A35" s="1">
        <v>31</v>
      </c>
      <c r="B35" s="10">
        <f>'APÊNDICE II-MEMÓRIA DE CÁLCULO'!B36</f>
        <v>12264</v>
      </c>
      <c r="C35" s="10">
        <f>'APÊNDICE II-MEMÓRIA DE CÁLCULO'!C36</f>
        <v>400781</v>
      </c>
      <c r="D35" s="11" t="str">
        <f>'APÊNDICE II-MEMÓRIA DE CÁLCULO'!D36</f>
        <v>Cadeira de rodas - com assento e encosto em nylon, dobrável em x, com apoio para os braços e os pés, rodas traseiras tipo: aro 24" com pneus de borracha maciço e aro da roda fabricado em  alumínio, aro impulsor acoplado, rodas dianteira tamanho:6" maciços , freios bilaterais, Com capacidade máxima de 120KG</v>
      </c>
      <c r="E35" s="10" t="str">
        <f>'APÊNDICE II-MEMÓRIA DE CÁLCULO'!E36</f>
        <v>UNIDADE</v>
      </c>
      <c r="F35" s="27">
        <f>'APÊNDICE II-MEMÓRIA DE CÁLCULO'!L36</f>
        <v>3</v>
      </c>
      <c r="G35" s="13">
        <f>'APÊNDICE III - MAPA DE PREÇOS'!X35</f>
        <v>1799.14</v>
      </c>
      <c r="H35" s="13">
        <f t="shared" si="0"/>
        <v>5397.42</v>
      </c>
    </row>
    <row r="36" spans="1:8" ht="49.5" x14ac:dyDescent="0.3">
      <c r="A36" s="1">
        <v>32</v>
      </c>
      <c r="B36" s="10">
        <f>'APÊNDICE II-MEMÓRIA DE CÁLCULO'!B37</f>
        <v>12265</v>
      </c>
      <c r="C36" s="10">
        <f>'APÊNDICE II-MEMÓRIA DE CÁLCULO'!C37</f>
        <v>401291</v>
      </c>
      <c r="D36" s="11" t="str">
        <f>'APÊNDICE II-MEMÓRIA DE CÁLCULO'!D37</f>
        <v xml:space="preserve">Colchão pneumático inflável - com capacidade de até 135Kg, com compressor de Ar 220v, material: pvc, medidas aproximadas: 1,84 x 0,90 cm, -Impermeável. </v>
      </c>
      <c r="E36" s="10" t="str">
        <f>'APÊNDICE II-MEMÓRIA DE CÁLCULO'!E37</f>
        <v>UNIDADE</v>
      </c>
      <c r="F36" s="27">
        <f>'APÊNDICE II-MEMÓRIA DE CÁLCULO'!L37</f>
        <v>24</v>
      </c>
      <c r="G36" s="13">
        <f>'APÊNDICE III - MAPA DE PREÇOS'!X36</f>
        <v>235.98</v>
      </c>
      <c r="H36" s="13">
        <f t="shared" si="0"/>
        <v>5663.5199999999995</v>
      </c>
    </row>
    <row r="37" spans="1:8" ht="66" x14ac:dyDescent="0.3">
      <c r="A37" s="1">
        <v>33</v>
      </c>
      <c r="B37" s="10">
        <f>'APÊNDICE II-MEMÓRIA DE CÁLCULO'!B38</f>
        <v>12266</v>
      </c>
      <c r="C37" s="10">
        <f>'APÊNDICE II-MEMÓRIA DE CÁLCULO'!C38</f>
        <v>443022</v>
      </c>
      <c r="D37" s="11" t="str">
        <f>'APÊNDICE II-MEMÓRIA DE CÁLCULO'!D38</f>
        <v>Compressa hospitalar - tipo: cirúrgica, material: 100% algodão, dimensões: cerca de 45x50cm, com cordão identificador, esterilidade: uso único, pacote com 50 unidades.</v>
      </c>
      <c r="E37" s="10" t="str">
        <f>'APÊNDICE II-MEMÓRIA DE CÁLCULO'!E38</f>
        <v>PACOTE</v>
      </c>
      <c r="F37" s="27">
        <f>'APÊNDICE II-MEMÓRIA DE CÁLCULO'!L38</f>
        <v>246</v>
      </c>
      <c r="G37" s="13">
        <f>'APÊNDICE III - MAPA DE PREÇOS'!X37</f>
        <v>59.81</v>
      </c>
      <c r="H37" s="13">
        <f t="shared" si="0"/>
        <v>14713.26</v>
      </c>
    </row>
    <row r="38" spans="1:8" ht="82.5" x14ac:dyDescent="0.3">
      <c r="A38" s="1">
        <v>34</v>
      </c>
      <c r="B38" s="10">
        <f>'APÊNDICE II-MEMÓRIA DE CÁLCULO'!B39</f>
        <v>12267</v>
      </c>
      <c r="C38" s="10" t="str">
        <f>'APÊNDICE II-MEMÓRIA DE CÁLCULO'!C39</f>
        <v>-</v>
      </c>
      <c r="D38" s="11" t="str">
        <f>'APÊNDICE II-MEMÓRIA DE CÁLCULO'!D39</f>
        <v xml:space="preserve">Conjunto de cintos para pranchas - medidas: aproximadamente 1,50 de comprimento e 5 cm de largura, material:  nylon características adicionais: contendo 3 tirantes para fixação na prancha de resgate, com fechos ajustáveis de engate rápido. </v>
      </c>
      <c r="E38" s="10" t="str">
        <f>'APÊNDICE II-MEMÓRIA DE CÁLCULO'!E39</f>
        <v>CONJUNTO</v>
      </c>
      <c r="F38" s="27">
        <f>'APÊNDICE II-MEMÓRIA DE CÁLCULO'!L39</f>
        <v>50</v>
      </c>
      <c r="G38" s="13">
        <f>'APÊNDICE III - MAPA DE PREÇOS'!X38</f>
        <v>32.72</v>
      </c>
      <c r="H38" s="13">
        <f t="shared" si="0"/>
        <v>1636</v>
      </c>
    </row>
    <row r="39" spans="1:8" ht="165" x14ac:dyDescent="0.3">
      <c r="A39" s="1">
        <v>35</v>
      </c>
      <c r="B39" s="10">
        <f>'APÊNDICE II-MEMÓRIA DE CÁLCULO'!B40</f>
        <v>12268</v>
      </c>
      <c r="C39" s="10">
        <f>'APÊNDICE II-MEMÓRIA DE CÁLCULO'!C40</f>
        <v>269876</v>
      </c>
      <c r="D39" s="11" t="str">
        <f>'APÊNDICE II-MEMÓRIA DE CÁLCULO'!D40</f>
        <v xml:space="preserve">Clorexidina Digluconato - aplicação: solução degermante, dosagem: 2%, capacidade: frasco com 1 litro, características adicionais: antisséptico degermante a base de clorexidina, concentrado de 2,0% associado a tensoativo, acondicionada em recipiente de plástico adaptável a suporte próprio para dispensação asséptica. Embalagem contendo externamente dados de identificação e procedência, lote, prazo de validade e registro em órgão competente. </v>
      </c>
      <c r="E39" s="10" t="str">
        <f>'APÊNDICE II-MEMÓRIA DE CÁLCULO'!E40</f>
        <v>FRASCO</v>
      </c>
      <c r="F39" s="27">
        <f>'APÊNDICE II-MEMÓRIA DE CÁLCULO'!L40</f>
        <v>228</v>
      </c>
      <c r="G39" s="13">
        <f>'APÊNDICE III - MAPA DE PREÇOS'!X39</f>
        <v>28.46</v>
      </c>
      <c r="H39" s="13">
        <f t="shared" si="0"/>
        <v>6488.88</v>
      </c>
    </row>
    <row r="40" spans="1:8" ht="148.5" x14ac:dyDescent="0.3">
      <c r="A40" s="1">
        <v>36</v>
      </c>
      <c r="B40" s="10">
        <f>'APÊNDICE II-MEMÓRIA DE CÁLCULO'!B41</f>
        <v>12269</v>
      </c>
      <c r="C40" s="10">
        <f>'APÊNDICE II-MEMÓRIA DE CÁLCULO'!C41</f>
        <v>269881</v>
      </c>
      <c r="D40" s="11" t="str">
        <f>'APÊNDICE II-MEMÓRIA DE CÁLCULO'!D41</f>
        <v>Clorexidina Digluconato - aplicação: solução tópica aquosa, dosagem: 0,2 %, capacidade: frasco com 1 litro, antisséptico a base de clorexidina, concentrado de 0,2% associado a tensoativo, acondicionada em recipiente de plástico adaptável a suporte próprio para dispensação asséptica. Embalagem contendo externamente dados de identificação e procedência, lote, prazo de validade e registro em órgão competente.</v>
      </c>
      <c r="E40" s="10" t="str">
        <f>'APÊNDICE II-MEMÓRIA DE CÁLCULO'!E41</f>
        <v>FRASCO</v>
      </c>
      <c r="F40" s="27">
        <f>'APÊNDICE II-MEMÓRIA DE CÁLCULO'!L41</f>
        <v>60</v>
      </c>
      <c r="G40" s="13">
        <f>'APÊNDICE III - MAPA DE PREÇOS'!X40</f>
        <v>11.43</v>
      </c>
      <c r="H40" s="13">
        <f t="shared" si="0"/>
        <v>685.8</v>
      </c>
    </row>
    <row r="41" spans="1:8" ht="148.5" x14ac:dyDescent="0.3">
      <c r="A41" s="1">
        <v>37</v>
      </c>
      <c r="B41" s="10">
        <f>'APÊNDICE II-MEMÓRIA DE CÁLCULO'!B42</f>
        <v>12270</v>
      </c>
      <c r="C41" s="10">
        <f>'APÊNDICE II-MEMÓRIA DE CÁLCULO'!C42</f>
        <v>269878</v>
      </c>
      <c r="D41" s="11" t="str">
        <f>'APÊNDICE II-MEMÓRIA DE CÁLCULO'!D42</f>
        <v>Clorexidina Digluconato - aplicação: solução alcoólica, dosagem: 0,5%, capacidade: frasco com 1 litro, antisséptico a base de clorexidina, concentrado de 0,5% associado a tensoativo, acondicionada em recipiente de plástico adaptável a suporte próprio para dispensação asséptica. Embalagem contendo externamente dados de identificação e procedência, lote, prazo de validade e registro em órgão competente.</v>
      </c>
      <c r="E41" s="10" t="str">
        <f>'APÊNDICE II-MEMÓRIA DE CÁLCULO'!E42</f>
        <v>FRASCO</v>
      </c>
      <c r="F41" s="27">
        <f>'APÊNDICE II-MEMÓRIA DE CÁLCULO'!L42</f>
        <v>90</v>
      </c>
      <c r="G41" s="13">
        <f>'APÊNDICE III - MAPA DE PREÇOS'!X41</f>
        <v>22.01</v>
      </c>
      <c r="H41" s="13">
        <f t="shared" si="0"/>
        <v>1980.9</v>
      </c>
    </row>
    <row r="42" spans="1:8" ht="214.5" x14ac:dyDescent="0.3">
      <c r="A42" s="1">
        <v>38</v>
      </c>
      <c r="B42" s="10">
        <f>'APÊNDICE II-MEMÓRIA DE CÁLCULO'!B43</f>
        <v>12271</v>
      </c>
      <c r="C42" s="10" t="str">
        <f>'APÊNDICE II-MEMÓRIA DE CÁLCULO'!C43</f>
        <v>-</v>
      </c>
      <c r="D42" s="11" t="str">
        <f>'APÊNDICE II-MEMÓRIA DE CÁLCULO'!D43</f>
        <v>Cateter central duplo lúmen - Aplicação: para acesso vascular central tamanho: 7 FR X 20 CM , em poliuretano com lumens internos 14 G /8 G e capacidade de fluxo de 4150 ML/H no lúmen distal e 1030 ML/H no lúmen proximal , marcações de comprimento com divisões em centímetros no corpo do cateter , ponta atraumática e flexível e pinça corta fluxo nas extensões, contendo: dilatador de vasos; guia metálica 0,035x 60 cm com ponta no formato de “j” com avançador anatômico, seringa 5 ml; agulha introdutora 18 g x 70 mm; tampa protetora com membrana auto cicatrizante, clamp de fixação móvel para o cateter, uso: agulha punção,dilatador.</v>
      </c>
      <c r="E42" s="10" t="str">
        <f>'APÊNDICE II-MEMÓRIA DE CÁLCULO'!E43</f>
        <v>UNIDADE</v>
      </c>
      <c r="F42" s="27">
        <f>'APÊNDICE II-MEMÓRIA DE CÁLCULO'!L43</f>
        <v>100</v>
      </c>
      <c r="G42" s="13">
        <f>'APÊNDICE III - MAPA DE PREÇOS'!X42</f>
        <v>61.01</v>
      </c>
      <c r="H42" s="13">
        <f t="shared" si="0"/>
        <v>6101</v>
      </c>
    </row>
    <row r="43" spans="1:8" ht="214.5" x14ac:dyDescent="0.3">
      <c r="A43" s="1">
        <v>39</v>
      </c>
      <c r="B43" s="10">
        <f>'APÊNDICE II-MEMÓRIA DE CÁLCULO'!B44</f>
        <v>12272</v>
      </c>
      <c r="C43" s="10">
        <f>'APÊNDICE II-MEMÓRIA DE CÁLCULO'!C44</f>
        <v>437175</v>
      </c>
      <c r="D43" s="11" t="str">
        <f>'APÊNDICE II-MEMÓRIA DE CÁLCULO'!D44</f>
        <v>Cateter para venopunção nº 14 G - com dispositivo de segurança atendendo a norma NR 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3" s="10" t="str">
        <f>'APÊNDICE II-MEMÓRIA DE CÁLCULO'!E44</f>
        <v>UNIDADE</v>
      </c>
      <c r="F43" s="27">
        <f>'APÊNDICE II-MEMÓRIA DE CÁLCULO'!L44</f>
        <v>1200</v>
      </c>
      <c r="G43" s="13">
        <f>'APÊNDICE III - MAPA DE PREÇOS'!X43</f>
        <v>1.29</v>
      </c>
      <c r="H43" s="13">
        <f t="shared" si="0"/>
        <v>1548</v>
      </c>
    </row>
    <row r="44" spans="1:8" ht="214.5" x14ac:dyDescent="0.3">
      <c r="A44" s="1">
        <v>40</v>
      </c>
      <c r="B44" s="10">
        <f>'APÊNDICE II-MEMÓRIA DE CÁLCULO'!B45</f>
        <v>12273</v>
      </c>
      <c r="C44" s="10">
        <f>'APÊNDICE II-MEMÓRIA DE CÁLCULO'!C45</f>
        <v>437176</v>
      </c>
      <c r="D44" s="11" t="str">
        <f>'APÊNDICE II-MEMÓRIA DE CÁLCULO'!D45</f>
        <v>Cateter para venopunção nº 16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4" s="10" t="str">
        <f>'APÊNDICE II-MEMÓRIA DE CÁLCULO'!E45</f>
        <v>UNIDADE</v>
      </c>
      <c r="F44" s="27">
        <f>'APÊNDICE II-MEMÓRIA DE CÁLCULO'!L45</f>
        <v>252</v>
      </c>
      <c r="G44" s="13">
        <f>'APÊNDICE III - MAPA DE PREÇOS'!X44</f>
        <v>1.21</v>
      </c>
      <c r="H44" s="13">
        <f t="shared" si="0"/>
        <v>304.92</v>
      </c>
    </row>
    <row r="45" spans="1:8" ht="214.5" x14ac:dyDescent="0.3">
      <c r="A45" s="1">
        <v>41</v>
      </c>
      <c r="B45" s="10">
        <f>'APÊNDICE II-MEMÓRIA DE CÁLCULO'!B46</f>
        <v>12274</v>
      </c>
      <c r="C45" s="10">
        <f>'APÊNDICE II-MEMÓRIA DE CÁLCULO'!C46</f>
        <v>437177</v>
      </c>
      <c r="D45" s="11" t="str">
        <f>'APÊNDICE II-MEMÓRIA DE CÁLCULO'!D46</f>
        <v>Cateter  para venopunção nº 18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5" s="10" t="str">
        <f>'APÊNDICE II-MEMÓRIA DE CÁLCULO'!E46</f>
        <v>UNIDADE</v>
      </c>
      <c r="F45" s="27">
        <f>'APÊNDICE II-MEMÓRIA DE CÁLCULO'!L46</f>
        <v>2400</v>
      </c>
      <c r="G45" s="13">
        <f>'APÊNDICE III - MAPA DE PREÇOS'!X45</f>
        <v>1.44</v>
      </c>
      <c r="H45" s="13">
        <f t="shared" si="0"/>
        <v>3456</v>
      </c>
    </row>
    <row r="46" spans="1:8" ht="214.5" x14ac:dyDescent="0.3">
      <c r="A46" s="1">
        <v>42</v>
      </c>
      <c r="B46" s="10">
        <f>'APÊNDICE II-MEMÓRIA DE CÁLCULO'!B47</f>
        <v>12275</v>
      </c>
      <c r="C46" s="10">
        <f>'APÊNDICE II-MEMÓRIA DE CÁLCULO'!C47</f>
        <v>437178</v>
      </c>
      <c r="D46" s="11" t="str">
        <f>'APÊNDICE II-MEMÓRIA DE CÁLCULO'!D47</f>
        <v xml:space="preserve">Cateter para venopunção nº 20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 </v>
      </c>
      <c r="E46" s="10" t="str">
        <f>'APÊNDICE II-MEMÓRIA DE CÁLCULO'!E47</f>
        <v>UNIDADE</v>
      </c>
      <c r="F46" s="27">
        <f>'APÊNDICE II-MEMÓRIA DE CÁLCULO'!L47</f>
        <v>14400</v>
      </c>
      <c r="G46" s="13">
        <f>'APÊNDICE III - MAPA DE PREÇOS'!X46</f>
        <v>0.7</v>
      </c>
      <c r="H46" s="13">
        <f t="shared" si="0"/>
        <v>10080</v>
      </c>
    </row>
    <row r="47" spans="1:8" ht="198" x14ac:dyDescent="0.3">
      <c r="A47" s="1">
        <v>43</v>
      </c>
      <c r="B47" s="10">
        <f>'APÊNDICE II-MEMÓRIA DE CÁLCULO'!B48</f>
        <v>12276</v>
      </c>
      <c r="C47" s="10">
        <f>'APÊNDICE II-MEMÓRIA DE CÁLCULO'!C48</f>
        <v>437179</v>
      </c>
      <c r="D47" s="11" t="str">
        <f>'APÊNDICE II-MEMÓRIA DE CÁLCULO'!D48</f>
        <v>Cateter intravenoso para acesso periférico nº 22 G - com dispositivo de segurança atendendo a Norma NR32 aprovada pela Portaria MTE 485 de 11/11/2005,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7" s="10" t="str">
        <f>'APÊNDICE II-MEMÓRIA DE CÁLCULO'!E48</f>
        <v>UNIDADE</v>
      </c>
      <c r="F47" s="27">
        <f>'APÊNDICE II-MEMÓRIA DE CÁLCULO'!L48</f>
        <v>14500</v>
      </c>
      <c r="G47" s="13">
        <f>'APÊNDICE III - MAPA DE PREÇOS'!X47</f>
        <v>1.27</v>
      </c>
      <c r="H47" s="13">
        <f t="shared" si="0"/>
        <v>18415</v>
      </c>
    </row>
    <row r="48" spans="1:8" ht="214.5" x14ac:dyDescent="0.3">
      <c r="A48" s="1">
        <v>44</v>
      </c>
      <c r="B48" s="10">
        <f>'APÊNDICE II-MEMÓRIA DE CÁLCULO'!B49</f>
        <v>12277</v>
      </c>
      <c r="C48" s="10">
        <f>'APÊNDICE II-MEMÓRIA DE CÁLCULO'!C49</f>
        <v>437180</v>
      </c>
      <c r="D48" s="11" t="str">
        <f>'APÊNDICE II-MEMÓRIA DE CÁLCULO'!D49</f>
        <v>Cateter para venopunção nº 24 G - com dispositivo de segurança atendendo a norma NR32 aprovada pela portaria MTE 485 de 11/11/200,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8" s="10" t="str">
        <f>'APÊNDICE II-MEMÓRIA DE CÁLCULO'!E49</f>
        <v>UNIDADE</v>
      </c>
      <c r="F48" s="27">
        <f>'APÊNDICE II-MEMÓRIA DE CÁLCULO'!L49</f>
        <v>14600</v>
      </c>
      <c r="G48" s="13">
        <f>'APÊNDICE III - MAPA DE PREÇOS'!X48</f>
        <v>1.48</v>
      </c>
      <c r="H48" s="13">
        <f t="shared" si="0"/>
        <v>21608</v>
      </c>
    </row>
    <row r="49" spans="1:8" ht="99" x14ac:dyDescent="0.3">
      <c r="A49" s="1">
        <v>45</v>
      </c>
      <c r="B49" s="10">
        <f>'APÊNDICE II-MEMÓRIA DE CÁLCULO'!B50</f>
        <v>12278</v>
      </c>
      <c r="C49" s="10">
        <f>'APÊNDICE II-MEMÓRIA DE CÁLCULO'!C50</f>
        <v>464912</v>
      </c>
      <c r="D49" s="11" t="str">
        <f>'APÊNDICE II-MEMÓRIA DE CÁLCULO'!D50</f>
        <v>Campo cirúrgico - tipo: fenestrado de 8 à 10 cm, dimensão: 0,50x,0,50 cm, gramatura: cerca de 200 G/M2, material: tecido 100% algodão, características adicionais: kit com 10 unidades, embalagem contendo dados de identificação e procedência, lote e registro em órgão competente.</v>
      </c>
      <c r="E49" s="10" t="str">
        <f>'APÊNDICE II-MEMÓRIA DE CÁLCULO'!E50</f>
        <v>KIT</v>
      </c>
      <c r="F49" s="27">
        <f>'APÊNDICE II-MEMÓRIA DE CÁLCULO'!L50</f>
        <v>17</v>
      </c>
      <c r="G49" s="13">
        <f>'APÊNDICE III - MAPA DE PREÇOS'!X49</f>
        <v>322.08</v>
      </c>
      <c r="H49" s="13">
        <f t="shared" si="0"/>
        <v>5475.36</v>
      </c>
    </row>
    <row r="50" spans="1:8" ht="99" x14ac:dyDescent="0.3">
      <c r="A50" s="1">
        <v>46</v>
      </c>
      <c r="B50" s="10">
        <f>'APÊNDICE II-MEMÓRIA DE CÁLCULO'!B51</f>
        <v>12279</v>
      </c>
      <c r="C50" s="10">
        <f>'APÊNDICE II-MEMÓRIA DE CÁLCULO'!C51</f>
        <v>464915</v>
      </c>
      <c r="D50" s="11" t="str">
        <f>'APÊNDICE II-MEMÓRIA DE CÁLCULO'!D51</f>
        <v>Campo cirúrgico - tipo: fenestrado de 8 à 10 cm, dimensão: 0,80x,0,80 cm, gramatura: cerca de 200 G/M2, material: tecido 100% algodão, características adicionais: kit com 10 unidades, embalagem contendo dados de identificação e procedência, lote e registro em órgão competente.</v>
      </c>
      <c r="E50" s="10" t="str">
        <f>'APÊNDICE II-MEMÓRIA DE CÁLCULO'!E51</f>
        <v>KIT</v>
      </c>
      <c r="F50" s="27">
        <f>'APÊNDICE II-MEMÓRIA DE CÁLCULO'!L51</f>
        <v>17</v>
      </c>
      <c r="G50" s="13">
        <f>'APÊNDICE III - MAPA DE PREÇOS'!X50</f>
        <v>401</v>
      </c>
      <c r="H50" s="13">
        <f t="shared" si="0"/>
        <v>6817</v>
      </c>
    </row>
    <row r="51" spans="1:8" ht="99" x14ac:dyDescent="0.3">
      <c r="A51" s="1">
        <v>47</v>
      </c>
      <c r="B51" s="10">
        <f>'APÊNDICE II-MEMÓRIA DE CÁLCULO'!B52</f>
        <v>12280</v>
      </c>
      <c r="C51" s="10" t="str">
        <f>'APÊNDICE II-MEMÓRIA DE CÁLCULO'!C52</f>
        <v>-</v>
      </c>
      <c r="D51" s="11" t="str">
        <f>'APÊNDICE II-MEMÓRIA DE CÁLCULO'!D52</f>
        <v>Campo cirúrgico - tipo: sem fenestra, dimensão: 1,60x1,60 cm, gramatura: cerca de 200 G/M2, material: tecido 100% algodão, características adicionais: kit com 10 unidades, embalagem contendo dados de identificação e procedência, lote e registro em órgão competente.</v>
      </c>
      <c r="E51" s="10" t="str">
        <f>'APÊNDICE II-MEMÓRIA DE CÁLCULO'!E52</f>
        <v>KIT</v>
      </c>
      <c r="F51" s="27">
        <f>'APÊNDICE II-MEMÓRIA DE CÁLCULO'!L52</f>
        <v>17</v>
      </c>
      <c r="G51" s="13">
        <f>'APÊNDICE III - MAPA DE PREÇOS'!X51</f>
        <v>1236.1400000000001</v>
      </c>
      <c r="H51" s="13">
        <f t="shared" si="0"/>
        <v>21014.38</v>
      </c>
    </row>
    <row r="52" spans="1:8" ht="181.5" x14ac:dyDescent="0.3">
      <c r="A52" s="1">
        <v>48</v>
      </c>
      <c r="B52" s="10">
        <f>'APÊNDICE II-MEMÓRIA DE CÁLCULO'!B53</f>
        <v>12281</v>
      </c>
      <c r="C52" s="10">
        <f>'APÊNDICE II-MEMÓRIA DE CÁLCULO'!C53</f>
        <v>481349</v>
      </c>
      <c r="D52" s="11" t="str">
        <f>'APÊNDICE II-MEMÓRIA DE CÁLCULO'!D53</f>
        <v xml:space="preserve">Compressa de gaze - medidas: 7,5 cm de largura e 7,5 cm de comprimento fechadas; 15 cm de largura e 30 cm de comprimento aberta, material: 100% algodão, tipo: 11 fios, características adicionais: estéril, descartável, com tecido tipo tela de algodão da melhor qualidade, tecido altamente absorvente, macio e agradável, isento de impurezas, com dobras para dentro da compressa, especialmente tratado para fins cirúrgicos e curativos, pacote com 10 unidades. Embalagem contendo dados de identificação e procedência e registro em órgão competente. </v>
      </c>
      <c r="E52" s="10" t="str">
        <f>'APÊNDICE II-MEMÓRIA DE CÁLCULO'!E53</f>
        <v>PACOTE</v>
      </c>
      <c r="F52" s="27">
        <f>'APÊNDICE II-MEMÓRIA DE CÁLCULO'!L53</f>
        <v>215200</v>
      </c>
      <c r="G52" s="13">
        <f>'APÊNDICE III - MAPA DE PREÇOS'!X52</f>
        <v>0.62</v>
      </c>
      <c r="H52" s="13">
        <f t="shared" si="0"/>
        <v>133424</v>
      </c>
    </row>
    <row r="53" spans="1:8" ht="165" x14ac:dyDescent="0.3">
      <c r="A53" s="1">
        <v>49</v>
      </c>
      <c r="B53" s="10">
        <f>'APÊNDICE II-MEMÓRIA DE CÁLCULO'!B54</f>
        <v>12282</v>
      </c>
      <c r="C53" s="10" t="str">
        <f>'APÊNDICE II-MEMÓRIA DE CÁLCULO'!C54</f>
        <v>-</v>
      </c>
      <c r="D53" s="11" t="str">
        <f>'APÊNDICE II-MEMÓRIA DE CÁLCULO'!D54</f>
        <v xml:space="preserve">Compressa cirúrgica - dimensões: 25 x 28 cm, material: 100% algodão, características adicionais: campo operatório, com cadarço duplo, pré lavada, estéril, em tecido quadruplo sobreposto tipo tela com placa radiopaca, contento 55 a 60% de sulfato de bário ou com fio radiopaco, tecido  fechado nas extremidades com costura para reforçar os mesmo e evitar e seu desfiamento. Embalagem contendo dados de identificação e procedência e registro em órgão competente. </v>
      </c>
      <c r="E53" s="10" t="str">
        <f>'APÊNDICE II-MEMÓRIA DE CÁLCULO'!E54</f>
        <v>UNIDADE</v>
      </c>
      <c r="F53" s="27">
        <f>'APÊNDICE II-MEMÓRIA DE CÁLCULO'!L54</f>
        <v>1300</v>
      </c>
      <c r="G53" s="13">
        <f>'APÊNDICE III - MAPA DE PREÇOS'!X53</f>
        <v>1.72</v>
      </c>
      <c r="H53" s="13">
        <f t="shared" si="0"/>
        <v>2236</v>
      </c>
    </row>
    <row r="54" spans="1:8" ht="115.5" x14ac:dyDescent="0.3">
      <c r="A54" s="1">
        <v>50</v>
      </c>
      <c r="B54" s="10">
        <f>'APÊNDICE II-MEMÓRIA DE CÁLCULO'!B55</f>
        <v>12283</v>
      </c>
      <c r="C54" s="10">
        <f>'APÊNDICE II-MEMÓRIA DE CÁLCULO'!C55</f>
        <v>454910</v>
      </c>
      <c r="D54" s="11" t="str">
        <f>'APÊNDICE II-MEMÓRIA DE CÁLCULO'!D55</f>
        <v>Cateter - aplicação: nasal para oxigênio, tipo óculos, tamanho: adulto, material: PVC atóxico siliconado, características adicionais: flexível, descartável, anatômica, com sistema de fixação que não cause desconforto ao paciente. Embalagem individual estéril, com dados de identificação e procedência, data, tipo de esterilização e data de validade.</v>
      </c>
      <c r="E54" s="10" t="str">
        <f>'APÊNDICE II-MEMÓRIA DE CÁLCULO'!E55</f>
        <v>UNIDADE</v>
      </c>
      <c r="F54" s="27">
        <f>'APÊNDICE II-MEMÓRIA DE CÁLCULO'!L55</f>
        <v>1200</v>
      </c>
      <c r="G54" s="13">
        <f>'APÊNDICE III - MAPA DE PREÇOS'!X54</f>
        <v>1.53</v>
      </c>
      <c r="H54" s="13">
        <f t="shared" si="0"/>
        <v>1836</v>
      </c>
    </row>
    <row r="55" spans="1:8" ht="115.5" x14ac:dyDescent="0.3">
      <c r="A55" s="1">
        <v>51</v>
      </c>
      <c r="B55" s="10">
        <f>'APÊNDICE II-MEMÓRIA DE CÁLCULO'!B56</f>
        <v>12284</v>
      </c>
      <c r="C55" s="10" t="str">
        <f>'APÊNDICE II-MEMÓRIA DE CÁLCULO'!C56</f>
        <v>-</v>
      </c>
      <c r="D55" s="11" t="str">
        <f>'APÊNDICE II-MEMÓRIA DE CÁLCULO'!D56</f>
        <v>Cateter - aplicação: nasal para oxigênio, tipo óculos, tamanho: infantil, material: PVC atóxico siliconado, características adicionais: flexível, descartável, anatômica, com sistema de fixação que não cause desconforto ao paciente. Embalagem individual estéril, com dados de identificação e procedência, data, tipo de esterilização e data de validade.</v>
      </c>
      <c r="E55" s="10" t="str">
        <f>'APÊNDICE II-MEMÓRIA DE CÁLCULO'!E56</f>
        <v>UNIDADE</v>
      </c>
      <c r="F55" s="27">
        <f>'APÊNDICE II-MEMÓRIA DE CÁLCULO'!L56</f>
        <v>900</v>
      </c>
      <c r="G55" s="13">
        <f>'APÊNDICE III - MAPA DE PREÇOS'!X55</f>
        <v>1.47</v>
      </c>
      <c r="H55" s="13">
        <f t="shared" si="0"/>
        <v>1323</v>
      </c>
    </row>
    <row r="56" spans="1:8" ht="115.5" x14ac:dyDescent="0.3">
      <c r="A56" s="1">
        <v>52</v>
      </c>
      <c r="B56" s="10">
        <f>'APÊNDICE II-MEMÓRIA DE CÁLCULO'!B57</f>
        <v>12285</v>
      </c>
      <c r="C56" s="10">
        <f>'APÊNDICE II-MEMÓRIA DE CÁLCULO'!C57</f>
        <v>450962</v>
      </c>
      <c r="D56" s="11" t="str">
        <f>'APÊNDICE II-MEMÓRIA DE CÁLCULO'!D57</f>
        <v>Cânula orofaríngea Guedel - tamanho: nº 0,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6" s="10" t="str">
        <f>'APÊNDICE II-MEMÓRIA DE CÁLCULO'!E57</f>
        <v>UNIDADE</v>
      </c>
      <c r="F56" s="27">
        <f>'APÊNDICE II-MEMÓRIA DE CÁLCULO'!L57</f>
        <v>10</v>
      </c>
      <c r="G56" s="13">
        <f>'APÊNDICE III - MAPA DE PREÇOS'!X56</f>
        <v>2.82</v>
      </c>
      <c r="H56" s="13">
        <f t="shared" si="0"/>
        <v>28.2</v>
      </c>
    </row>
    <row r="57" spans="1:8" ht="115.5" x14ac:dyDescent="0.3">
      <c r="A57" s="1">
        <v>53</v>
      </c>
      <c r="B57" s="10">
        <f>'APÊNDICE II-MEMÓRIA DE CÁLCULO'!B58</f>
        <v>12286</v>
      </c>
      <c r="C57" s="10">
        <f>'APÊNDICE II-MEMÓRIA DE CÁLCULO'!C58</f>
        <v>422819</v>
      </c>
      <c r="D57" s="11" t="str">
        <f>'APÊNDICE II-MEMÓRIA DE CÁLCULO'!D58</f>
        <v>Cânula orofaríngea Guedel - tamanho: nº 1,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7" s="10" t="str">
        <f>'APÊNDICE II-MEMÓRIA DE CÁLCULO'!E58</f>
        <v>UNIDADE</v>
      </c>
      <c r="F57" s="27">
        <f>'APÊNDICE II-MEMÓRIA DE CÁLCULO'!L58</f>
        <v>10</v>
      </c>
      <c r="G57" s="13">
        <f>'APÊNDICE III - MAPA DE PREÇOS'!X57</f>
        <v>3.35</v>
      </c>
      <c r="H57" s="13">
        <f t="shared" si="0"/>
        <v>33.5</v>
      </c>
    </row>
    <row r="58" spans="1:8" ht="115.5" x14ac:dyDescent="0.3">
      <c r="A58" s="1">
        <v>54</v>
      </c>
      <c r="B58" s="10">
        <f>'APÊNDICE II-MEMÓRIA DE CÁLCULO'!B59</f>
        <v>12287</v>
      </c>
      <c r="C58" s="10">
        <f>'APÊNDICE II-MEMÓRIA DE CÁLCULO'!C59</f>
        <v>427150</v>
      </c>
      <c r="D58" s="11" t="str">
        <f>'APÊNDICE II-MEMÓRIA DE CÁLCULO'!D59</f>
        <v>Cânula orofaríngea Guedel - tamanho: nº 2,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8" s="10" t="str">
        <f>'APÊNDICE II-MEMÓRIA DE CÁLCULO'!E59</f>
        <v>UNIDADE</v>
      </c>
      <c r="F58" s="27">
        <f>'APÊNDICE II-MEMÓRIA DE CÁLCULO'!L59</f>
        <v>10</v>
      </c>
      <c r="G58" s="13">
        <f>'APÊNDICE III - MAPA DE PREÇOS'!X58</f>
        <v>3.78</v>
      </c>
      <c r="H58" s="13">
        <f t="shared" si="0"/>
        <v>37.799999999999997</v>
      </c>
    </row>
    <row r="59" spans="1:8" ht="115.5" x14ac:dyDescent="0.3">
      <c r="A59" s="1">
        <v>55</v>
      </c>
      <c r="B59" s="10">
        <f>'APÊNDICE II-MEMÓRIA DE CÁLCULO'!B60</f>
        <v>12288</v>
      </c>
      <c r="C59" s="10">
        <f>'APÊNDICE II-MEMÓRIA DE CÁLCULO'!C60</f>
        <v>422817</v>
      </c>
      <c r="D59" s="11" t="str">
        <f>'APÊNDICE II-MEMÓRIA DE CÁLCULO'!D60</f>
        <v>Cânula orofaríngea Guedel - tamanho: nº 3,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9" s="10" t="str">
        <f>'APÊNDICE II-MEMÓRIA DE CÁLCULO'!E60</f>
        <v>UNIDADE</v>
      </c>
      <c r="F59" s="27">
        <f>'APÊNDICE II-MEMÓRIA DE CÁLCULO'!L60</f>
        <v>10</v>
      </c>
      <c r="G59" s="13">
        <f>'APÊNDICE III - MAPA DE PREÇOS'!X59</f>
        <v>3.22</v>
      </c>
      <c r="H59" s="13">
        <f t="shared" si="0"/>
        <v>32.200000000000003</v>
      </c>
    </row>
    <row r="60" spans="1:8" ht="115.5" x14ac:dyDescent="0.3">
      <c r="A60" s="1">
        <v>56</v>
      </c>
      <c r="B60" s="10">
        <f>'APÊNDICE II-MEMÓRIA DE CÁLCULO'!B61</f>
        <v>12289</v>
      </c>
      <c r="C60" s="10">
        <f>'APÊNDICE II-MEMÓRIA DE CÁLCULO'!C61</f>
        <v>422820</v>
      </c>
      <c r="D60" s="11" t="str">
        <f>'APÊNDICE II-MEMÓRIA DE CÁLCULO'!D61</f>
        <v>Cânula orofaríngea Guedel - tamanho: nº 4,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60" s="10" t="str">
        <f>'APÊNDICE II-MEMÓRIA DE CÁLCULO'!E61</f>
        <v>UNIDADE</v>
      </c>
      <c r="F60" s="27">
        <f>'APÊNDICE II-MEMÓRIA DE CÁLCULO'!L61</f>
        <v>10</v>
      </c>
      <c r="G60" s="13">
        <f>'APÊNDICE III - MAPA DE PREÇOS'!X60</f>
        <v>3</v>
      </c>
      <c r="H60" s="13">
        <f t="shared" si="0"/>
        <v>30</v>
      </c>
    </row>
    <row r="61" spans="1:8" ht="115.5" x14ac:dyDescent="0.3">
      <c r="A61" s="1">
        <v>57</v>
      </c>
      <c r="B61" s="10">
        <f>'APÊNDICE II-MEMÓRIA DE CÁLCULO'!B62</f>
        <v>12296</v>
      </c>
      <c r="C61" s="10">
        <f>'APÊNDICE II-MEMÓRIA DE CÁLCULO'!C62</f>
        <v>422818</v>
      </c>
      <c r="D61" s="11" t="str">
        <f>'APÊNDICE II-MEMÓRIA DE CÁLCULO'!D62</f>
        <v>Cânula orofaríngea Guedel - tamanho: nº 5,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61" s="10" t="str">
        <f>'APÊNDICE II-MEMÓRIA DE CÁLCULO'!E62</f>
        <v>UNIDADE</v>
      </c>
      <c r="F61" s="27">
        <f>'APÊNDICE II-MEMÓRIA DE CÁLCULO'!L62</f>
        <v>10</v>
      </c>
      <c r="G61" s="13">
        <f>'APÊNDICE III - MAPA DE PREÇOS'!X61</f>
        <v>3.38</v>
      </c>
      <c r="H61" s="13">
        <f t="shared" si="0"/>
        <v>33.799999999999997</v>
      </c>
    </row>
    <row r="62" spans="1:8" ht="313.5" x14ac:dyDescent="0.3">
      <c r="A62" s="1">
        <v>58</v>
      </c>
      <c r="B62" s="10">
        <f>'APÊNDICE II-MEMÓRIA DE CÁLCULO'!B63</f>
        <v>12297</v>
      </c>
      <c r="C62" s="10">
        <f>'APÊNDICE II-MEMÓRIA DE CÁLCULO'!C63</f>
        <v>419371</v>
      </c>
      <c r="D62" s="11" t="str">
        <f>'APÊNDICE II-MEMÓRIA DE CÁLCULO'!D63</f>
        <v>Coletor de urina - tipo: sistema fechado, material: pvc, capacidade: 2.000 ML, dimensões mínimas: 1,20 M de comprimento e 0,9 cm de diâmetro interno, características adicionais: bolsa coletora confeccionada em material resistente, branco opaco na face posterior, branco transparente na face anterior, com selagem segura, com válvula anti refluxo e filtro de ar, sistema de fluxo contínuo de drenagem e esvaziamento, tubo de esvaziamento com sistema prático de fixação à bolsa, clamp de fechamento firme e seguro ao manuseio, tubo de drenagem branco transparente, firme, adaptador de sonda escalonada, confeccionado de material rígido, com alça rígida tipo óculos para fixação e tira para transporte, estéril. Embalagem individual de papel grau cirúrgico ou com filme termoplástico, contendo externamente dados de identificação e procedência, data e tipo de esterilização, prazo de validade e registro em órgão competente.</v>
      </c>
      <c r="E62" s="10" t="str">
        <f>'APÊNDICE II-MEMÓRIA DE CÁLCULO'!E63</f>
        <v>UNIDADE</v>
      </c>
      <c r="F62" s="27">
        <f>'APÊNDICE II-MEMÓRIA DE CÁLCULO'!L63</f>
        <v>775</v>
      </c>
      <c r="G62" s="13">
        <f>'APÊNDICE III - MAPA DE PREÇOS'!X62</f>
        <v>3.75</v>
      </c>
      <c r="H62" s="13">
        <f t="shared" si="0"/>
        <v>2906.25</v>
      </c>
    </row>
    <row r="63" spans="1:8" ht="115.5" x14ac:dyDescent="0.3">
      <c r="A63" s="1">
        <v>59</v>
      </c>
      <c r="B63" s="10">
        <f>'APÊNDICE II-MEMÓRIA DE CÁLCULO'!B64</f>
        <v>12298</v>
      </c>
      <c r="C63" s="10">
        <f>'APÊNDICE II-MEMÓRIA DE CÁLCULO'!C64</f>
        <v>447065</v>
      </c>
      <c r="D63" s="11" t="str">
        <f>'APÊNDICE II-MEMÓRIA DE CÁLCULO'!D64</f>
        <v>Clamp umbilical - material: resina de engenharia resistente, esterilidade: estéril, descartável, características adicionais: em embalagem individual de papel grau cirúrgico, que permita abertura asséptica, contendo dados de identificação e procedência, lote, data e tipo de esterilização, prazo de validade e registro em órgão competente.</v>
      </c>
      <c r="E63" s="10" t="str">
        <f>'APÊNDICE II-MEMÓRIA DE CÁLCULO'!E64</f>
        <v>UNIDADE</v>
      </c>
      <c r="F63" s="27">
        <f>'APÊNDICE II-MEMÓRIA DE CÁLCULO'!L64</f>
        <v>200</v>
      </c>
      <c r="G63" s="13">
        <f>'APÊNDICE III - MAPA DE PREÇOS'!X63</f>
        <v>0.6</v>
      </c>
      <c r="H63" s="13">
        <f t="shared" si="0"/>
        <v>120</v>
      </c>
    </row>
    <row r="64" spans="1:8" ht="132" x14ac:dyDescent="0.3">
      <c r="A64" s="1">
        <v>60</v>
      </c>
      <c r="B64" s="10">
        <f>'APÊNDICE II-MEMÓRIA DE CÁLCULO'!B65</f>
        <v>12300</v>
      </c>
      <c r="C64" s="10">
        <f>'APÊNDICE II-MEMÓRIA DE CÁLCULO'!C65</f>
        <v>363484</v>
      </c>
      <c r="D64" s="11" t="str">
        <f>'APÊNDICE II-MEMÓRIA DE CÁLCULO'!D65</f>
        <v>Coletor material pérfuro-cortante - tipo: caixa, material: papelão rígido, capacidade: 7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4" s="10" t="str">
        <f>'APÊNDICE II-MEMÓRIA DE CÁLCULO'!E65</f>
        <v>UNIDADE</v>
      </c>
      <c r="F64" s="27">
        <f>'APÊNDICE II-MEMÓRIA DE CÁLCULO'!L65</f>
        <v>160</v>
      </c>
      <c r="G64" s="13">
        <f>'APÊNDICE III - MAPA DE PREÇOS'!X64</f>
        <v>4.07</v>
      </c>
      <c r="H64" s="13">
        <f t="shared" si="0"/>
        <v>651.20000000000005</v>
      </c>
    </row>
    <row r="65" spans="1:8" ht="132" x14ac:dyDescent="0.3">
      <c r="A65" s="1">
        <v>61</v>
      </c>
      <c r="B65" s="10">
        <f>'APÊNDICE II-MEMÓRIA DE CÁLCULO'!B66</f>
        <v>12301</v>
      </c>
      <c r="C65" s="10">
        <f>'APÊNDICE II-MEMÓRIA DE CÁLCULO'!C66</f>
        <v>363482</v>
      </c>
      <c r="D65" s="11" t="str">
        <f>'APÊNDICE II-MEMÓRIA DE CÁLCULO'!D66</f>
        <v>Coletor material pérfuro-cortante - tipo: caixa, material: papelão rígido, capacidade: 13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5" s="10" t="str">
        <f>'APÊNDICE II-MEMÓRIA DE CÁLCULO'!E66</f>
        <v>UNIDADE</v>
      </c>
      <c r="F65" s="27">
        <f>'APÊNDICE II-MEMÓRIA DE CÁLCULO'!L66</f>
        <v>300</v>
      </c>
      <c r="G65" s="13">
        <f>'APÊNDICE III - MAPA DE PREÇOS'!X65</f>
        <v>8.7799999999999994</v>
      </c>
      <c r="H65" s="13">
        <f t="shared" si="0"/>
        <v>2634</v>
      </c>
    </row>
    <row r="66" spans="1:8" ht="132" x14ac:dyDescent="0.3">
      <c r="A66" s="1">
        <v>62</v>
      </c>
      <c r="B66" s="10">
        <f>'APÊNDICE II-MEMÓRIA DE CÁLCULO'!B67</f>
        <v>12302</v>
      </c>
      <c r="C66" s="10">
        <f>'APÊNDICE II-MEMÓRIA DE CÁLCULO'!C67</f>
        <v>363485</v>
      </c>
      <c r="D66" s="11" t="str">
        <f>'APÊNDICE II-MEMÓRIA DE CÁLCULO'!D67</f>
        <v>Coletor material pérfuro-cortante - tipo: caixa, material: papelão rígido, capacidade: 20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6" s="10" t="str">
        <f>'APÊNDICE II-MEMÓRIA DE CÁLCULO'!E67</f>
        <v>UNIDADE</v>
      </c>
      <c r="F66" s="27">
        <f>'APÊNDICE II-MEMÓRIA DE CÁLCULO'!L67</f>
        <v>1100</v>
      </c>
      <c r="G66" s="13">
        <f>'APÊNDICE III - MAPA DE PREÇOS'!X66</f>
        <v>12.44</v>
      </c>
      <c r="H66" s="13">
        <f t="shared" si="0"/>
        <v>13684</v>
      </c>
    </row>
    <row r="67" spans="1:8" ht="82.5" x14ac:dyDescent="0.3">
      <c r="A67" s="1">
        <v>63</v>
      </c>
      <c r="B67" s="10">
        <f>'APÊNDICE II-MEMÓRIA DE CÁLCULO'!B68</f>
        <v>12304</v>
      </c>
      <c r="C67" s="10">
        <f>'APÊNDICE II-MEMÓRIA DE CÁLCULO'!C68</f>
        <v>439214</v>
      </c>
      <c r="D67" s="11" t="str">
        <f>'APÊNDICE II-MEMÓRIA DE CÁLCULO'!D68</f>
        <v>Cuba uso hospitalar - formato: tipo rim, dimensões: 26 x 12 cm, material: aço inoxidável, capacidade: 700 ml, características adicionais: embalagem constando os dados de identificação e registro em órgão competente.</v>
      </c>
      <c r="E67" s="10" t="str">
        <f>'APÊNDICE II-MEMÓRIA DE CÁLCULO'!E68</f>
        <v>UNIDADE</v>
      </c>
      <c r="F67" s="27">
        <f>'APÊNDICE II-MEMÓRIA DE CÁLCULO'!L68</f>
        <v>15</v>
      </c>
      <c r="G67" s="13">
        <f>'APÊNDICE III - MAPA DE PREÇOS'!X67</f>
        <v>57.67</v>
      </c>
      <c r="H67" s="13">
        <f t="shared" si="0"/>
        <v>865.05000000000007</v>
      </c>
    </row>
    <row r="68" spans="1:8" ht="82.5" x14ac:dyDescent="0.3">
      <c r="A68" s="1">
        <v>64</v>
      </c>
      <c r="B68" s="10">
        <f>'APÊNDICE II-MEMÓRIA DE CÁLCULO'!B69</f>
        <v>12306</v>
      </c>
      <c r="C68" s="10">
        <f>'APÊNDICE II-MEMÓRIA DE CÁLCULO'!C69</f>
        <v>432208</v>
      </c>
      <c r="D68" s="11" t="str">
        <f>'APÊNDICE II-MEMÓRIA DE CÁLCULO'!D69</f>
        <v>Cobertura para óbito - material: polietileno de baixa densidade (PEBD), tamanho: pequeno, características adicionais: com zíper frontal por toda sua extensão, utilizado para envolver o cadáver, isolando-o do contato com o ambiente para evitar contaminação.</v>
      </c>
      <c r="E68" s="10" t="str">
        <f>'APÊNDICE II-MEMÓRIA DE CÁLCULO'!E69</f>
        <v>UNIDADE</v>
      </c>
      <c r="F68" s="27">
        <f>'APÊNDICE II-MEMÓRIA DE CÁLCULO'!L69</f>
        <v>50</v>
      </c>
      <c r="G68" s="13">
        <f>'APÊNDICE III - MAPA DE PREÇOS'!X68</f>
        <v>12.79</v>
      </c>
      <c r="H68" s="13">
        <f t="shared" ref="H68:H127" si="1">F68*G68</f>
        <v>639.5</v>
      </c>
    </row>
    <row r="69" spans="1:8" ht="82.5" x14ac:dyDescent="0.3">
      <c r="A69" s="1">
        <v>65</v>
      </c>
      <c r="B69" s="10">
        <f>'APÊNDICE II-MEMÓRIA DE CÁLCULO'!B70</f>
        <v>12307</v>
      </c>
      <c r="C69" s="10">
        <f>'APÊNDICE II-MEMÓRIA DE CÁLCULO'!C70</f>
        <v>432182</v>
      </c>
      <c r="D69" s="11" t="str">
        <f>'APÊNDICE II-MEMÓRIA DE CÁLCULO'!D70</f>
        <v>Cobertura para óbito - material: polietileno de baixa densidade (PEBD), tamanho: médio, características adicionais: com zíper frontal por toda sua extensão, utilizado para envolver o cadáver, isolando-o do contato com o ambiente para evitar contaminação.</v>
      </c>
      <c r="E69" s="10" t="str">
        <f>'APÊNDICE II-MEMÓRIA DE CÁLCULO'!E70</f>
        <v>UNIDADE</v>
      </c>
      <c r="F69" s="27">
        <f>'APÊNDICE II-MEMÓRIA DE CÁLCULO'!L70</f>
        <v>150</v>
      </c>
      <c r="G69" s="13">
        <f>'APÊNDICE III - MAPA DE PREÇOS'!X69</f>
        <v>11.77</v>
      </c>
      <c r="H69" s="13">
        <f t="shared" si="1"/>
        <v>1765.5</v>
      </c>
    </row>
    <row r="70" spans="1:8" ht="82.5" x14ac:dyDescent="0.3">
      <c r="A70" s="1">
        <v>66</v>
      </c>
      <c r="B70" s="10">
        <f>'APÊNDICE II-MEMÓRIA DE CÁLCULO'!B71</f>
        <v>12308</v>
      </c>
      <c r="C70" s="10">
        <f>'APÊNDICE II-MEMÓRIA DE CÁLCULO'!C71</f>
        <v>382524</v>
      </c>
      <c r="D70" s="11" t="str">
        <f>'APÊNDICE II-MEMÓRIA DE CÁLCULO'!D71</f>
        <v>Cobetura para óbito - material: polietileno de baixa densidade (PEBD), tamanho: grande,características adicionais: com zíper frontal por toda sua extensão, utilizado para envolver o cadáver, isolando-o do contato com o ambiente para evitar contaminação.</v>
      </c>
      <c r="E70" s="10" t="str">
        <f>'APÊNDICE II-MEMÓRIA DE CÁLCULO'!E71</f>
        <v>UNIDADE</v>
      </c>
      <c r="F70" s="27">
        <f>'APÊNDICE II-MEMÓRIA DE CÁLCULO'!L71</f>
        <v>200</v>
      </c>
      <c r="G70" s="13">
        <f>'APÊNDICE III - MAPA DE PREÇOS'!X70</f>
        <v>15.77</v>
      </c>
      <c r="H70" s="13">
        <f t="shared" si="1"/>
        <v>3154</v>
      </c>
    </row>
    <row r="71" spans="1:8" ht="82.5" x14ac:dyDescent="0.3">
      <c r="A71" s="1">
        <v>67</v>
      </c>
      <c r="B71" s="10">
        <f>'APÊNDICE II-MEMÓRIA DE CÁLCULO'!B72</f>
        <v>12309</v>
      </c>
      <c r="C71" s="10">
        <f>'APÊNDICE II-MEMÓRIA DE CÁLCULO'!C72</f>
        <v>385252</v>
      </c>
      <c r="D71" s="11" t="str">
        <f>'APÊNDICE II-MEMÓRIA DE CÁLCULO'!D72</f>
        <v>Cobertura para óbito - material: polietileno de baixa densidade (PEBD), tamanho: GG, características adicionais: com zíper frontal por toda sua extensão, utilizado para envolver o cadáver, isolando-o do contato com o ambiente para evitar contaminação.</v>
      </c>
      <c r="E71" s="10" t="str">
        <f>'APÊNDICE II-MEMÓRIA DE CÁLCULO'!E72</f>
        <v>UNIDADE</v>
      </c>
      <c r="F71" s="27">
        <f>'APÊNDICE II-MEMÓRIA DE CÁLCULO'!L72</f>
        <v>200</v>
      </c>
      <c r="G71" s="13">
        <f>'APÊNDICE III - MAPA DE PREÇOS'!X71</f>
        <v>17.04</v>
      </c>
      <c r="H71" s="13">
        <f t="shared" si="1"/>
        <v>3408</v>
      </c>
    </row>
    <row r="72" spans="1:8" ht="33" x14ac:dyDescent="0.3">
      <c r="A72" s="1">
        <v>68</v>
      </c>
      <c r="B72" s="10">
        <f>'APÊNDICE II-MEMÓRIA DE CÁLCULO'!B73</f>
        <v>12310</v>
      </c>
      <c r="C72" s="10">
        <f>'APÊNDICE II-MEMÓRIA DE CÁLCULO'!C73</f>
        <v>419399</v>
      </c>
      <c r="D72" s="11" t="str">
        <f>'APÊNDICE II-MEMÓRIA DE CÁLCULO'!D73</f>
        <v xml:space="preserve">Coletor de urina - tipo: sistema aberto, capacidade: 2 L, material: plástico, esterilidade: não estéril. </v>
      </c>
      <c r="E72" s="10" t="str">
        <f>'APÊNDICE II-MEMÓRIA DE CÁLCULO'!E73</f>
        <v>UNIDADE</v>
      </c>
      <c r="F72" s="27">
        <f>'APÊNDICE II-MEMÓRIA DE CÁLCULO'!L73</f>
        <v>250</v>
      </c>
      <c r="G72" s="13">
        <f>'APÊNDICE III - MAPA DE PREÇOS'!X72</f>
        <v>0.68</v>
      </c>
      <c r="H72" s="13">
        <f t="shared" si="1"/>
        <v>170</v>
      </c>
    </row>
    <row r="73" spans="1:8" ht="132" x14ac:dyDescent="0.3">
      <c r="A73" s="1">
        <v>69</v>
      </c>
      <c r="B73" s="10">
        <f>'APÊNDICE II-MEMÓRIA DE CÁLCULO'!B74</f>
        <v>12311</v>
      </c>
      <c r="C73" s="10">
        <f>'APÊNDICE II-MEMÓRIA DE CÁLCULO'!C74</f>
        <v>427234</v>
      </c>
      <c r="D73" s="11" t="str">
        <f>'APÊNDICE II-MEMÓRIA DE CÁLCULO'!D74</f>
        <v>Capacete oxigenoterapia - tipo: hood, material: acrílico transparente, uso: pediátrico, tamanho: 20 x 21 CM, 3,18 KG, características adicionais: para terapia de oxigênio em crianças com déficit de oxigênio, utilizado em situações de falta de incubadora. Na embalagem deverá estar impresso dados de identificação, procedência, data de fabricação, prazo de validade e registro na anvisa.</v>
      </c>
      <c r="E73" s="10" t="str">
        <f>'APÊNDICE II-MEMÓRIA DE CÁLCULO'!E74</f>
        <v>UNIDADE</v>
      </c>
      <c r="F73" s="27">
        <f>'APÊNDICE II-MEMÓRIA DE CÁLCULO'!L74</f>
        <v>1</v>
      </c>
      <c r="G73" s="13">
        <f>'APÊNDICE III - MAPA DE PREÇOS'!X73</f>
        <v>353.07</v>
      </c>
      <c r="H73" s="13">
        <f t="shared" si="1"/>
        <v>353.07</v>
      </c>
    </row>
    <row r="74" spans="1:8" ht="66" x14ac:dyDescent="0.3">
      <c r="A74" s="1">
        <v>70</v>
      </c>
      <c r="B74" s="10">
        <f>'APÊNDICE II-MEMÓRIA DE CÁLCULO'!B75</f>
        <v>12312</v>
      </c>
      <c r="C74" s="10" t="str">
        <f>'APÊNDICE II-MEMÓRIA DE CÁLCULO'!C75</f>
        <v>-</v>
      </c>
      <c r="D74" s="11" t="str">
        <f>'APÊNDICE II-MEMÓRIA DE CÁLCULO'!D75</f>
        <v>Cadarço - tipo: sarjado, material: 100% algodão, medidas: 10mm de largura e 10m de comprimento, uso: para fixação de tubos ou sondas endotraqueal ou fixação da cânula de traqueostomia.</v>
      </c>
      <c r="E74" s="10" t="str">
        <f>'APÊNDICE II-MEMÓRIA DE CÁLCULO'!E75</f>
        <v>ROLO</v>
      </c>
      <c r="F74" s="27">
        <f>'APÊNDICE II-MEMÓRIA DE CÁLCULO'!L75</f>
        <v>100</v>
      </c>
      <c r="G74" s="13">
        <f>'APÊNDICE III - MAPA DE PREÇOS'!X74</f>
        <v>4.96</v>
      </c>
      <c r="H74" s="13">
        <f t="shared" si="1"/>
        <v>496</v>
      </c>
    </row>
    <row r="75" spans="1:8" ht="82.5" x14ac:dyDescent="0.3">
      <c r="A75" s="1">
        <v>71</v>
      </c>
      <c r="B75" s="10">
        <f>'APÊNDICE II-MEMÓRIA DE CÁLCULO'!B76</f>
        <v>12313</v>
      </c>
      <c r="C75" s="10">
        <f>'APÊNDICE II-MEMÓRIA DE CÁLCULO'!C76</f>
        <v>455910</v>
      </c>
      <c r="D75" s="11" t="str">
        <f>'APÊNDICE II-MEMÓRIA DE CÁLCULO'!D76</f>
        <v>Colar cervical de resgate - material: polietileno de alta qualidade e densidade, tamanho: pequeno, características adicionais: revestido em EVA, abertura frontal para palpação e ventilação da nuca, registro em órgão competente.</v>
      </c>
      <c r="E75" s="10" t="str">
        <f>'APÊNDICE II-MEMÓRIA DE CÁLCULO'!E76</f>
        <v>UNIDADE</v>
      </c>
      <c r="F75" s="27">
        <f>'APÊNDICE II-MEMÓRIA DE CÁLCULO'!L76</f>
        <v>12</v>
      </c>
      <c r="G75" s="13">
        <f>'APÊNDICE III - MAPA DE PREÇOS'!X75</f>
        <v>16.5</v>
      </c>
      <c r="H75" s="13">
        <f t="shared" si="1"/>
        <v>198</v>
      </c>
    </row>
    <row r="76" spans="1:8" ht="82.5" x14ac:dyDescent="0.3">
      <c r="A76" s="1">
        <v>72</v>
      </c>
      <c r="B76" s="10">
        <f>'APÊNDICE II-MEMÓRIA DE CÁLCULO'!B77</f>
        <v>12314</v>
      </c>
      <c r="C76" s="10">
        <f>'APÊNDICE II-MEMÓRIA DE CÁLCULO'!C77</f>
        <v>455909</v>
      </c>
      <c r="D76" s="11" t="str">
        <f>'APÊNDICE II-MEMÓRIA DE CÁLCULO'!D77</f>
        <v>Colar cervical de resgate - material: polietileno de alta qualidade e densidade, tamanho: médio, características adicionais: revestido em EVA, abertura frontal para palpação e ventilação da nuca, registro em órgão competente.</v>
      </c>
      <c r="E76" s="10" t="str">
        <f>'APÊNDICE II-MEMÓRIA DE CÁLCULO'!E77</f>
        <v>UNIDADE</v>
      </c>
      <c r="F76" s="27">
        <f>'APÊNDICE II-MEMÓRIA DE CÁLCULO'!L77</f>
        <v>8</v>
      </c>
      <c r="G76" s="13">
        <f>'APÊNDICE III - MAPA DE PREÇOS'!X76</f>
        <v>16.670000000000002</v>
      </c>
      <c r="H76" s="13">
        <f t="shared" si="1"/>
        <v>133.36000000000001</v>
      </c>
    </row>
    <row r="77" spans="1:8" ht="82.5" x14ac:dyDescent="0.3">
      <c r="A77" s="1">
        <v>73</v>
      </c>
      <c r="B77" s="10">
        <f>'APÊNDICE II-MEMÓRIA DE CÁLCULO'!B78</f>
        <v>12315</v>
      </c>
      <c r="C77" s="10">
        <f>'APÊNDICE II-MEMÓRIA DE CÁLCULO'!C78</f>
        <v>455908</v>
      </c>
      <c r="D77" s="11" t="str">
        <f>'APÊNDICE II-MEMÓRIA DE CÁLCULO'!D78</f>
        <v>Colar cervical de resgate - material: polietileno de alta qualidade e densidade, tamanho: grande, características adicionais: revestido em EVA, abertura frontal para palpação e ventilação da nuca, registro em órgão competente.</v>
      </c>
      <c r="E77" s="10" t="str">
        <f>'APÊNDICE II-MEMÓRIA DE CÁLCULO'!E78</f>
        <v>UNIDADE</v>
      </c>
      <c r="F77" s="27">
        <f>'APÊNDICE II-MEMÓRIA DE CÁLCULO'!L78</f>
        <v>8</v>
      </c>
      <c r="G77" s="13">
        <f>'APÊNDICE III - MAPA DE PREÇOS'!X77</f>
        <v>16.68</v>
      </c>
      <c r="H77" s="13">
        <f t="shared" si="1"/>
        <v>133.44</v>
      </c>
    </row>
    <row r="78" spans="1:8" ht="82.5" x14ac:dyDescent="0.3">
      <c r="A78" s="1">
        <v>74</v>
      </c>
      <c r="B78" s="10">
        <f>'APÊNDICE II-MEMÓRIA DE CÁLCULO'!B79</f>
        <v>12570</v>
      </c>
      <c r="C78" s="10" t="str">
        <f>'APÊNDICE II-MEMÓRIA DE CÁLCULO'!C79</f>
        <v>-</v>
      </c>
      <c r="D78" s="11" t="str">
        <f>'APÊNDICE II-MEMÓRIA DE CÁLCULO'!D79</f>
        <v xml:space="preserve">Teste Bowie-Dick - De uso diário, em temperatura de 134°C por 3,5 minutos, caixa em material impermeável. Contendo indicador químico externo de processo (tipo 1) com folhas em papel poroso.    Embalagem com 4 kg. </v>
      </c>
      <c r="E78" s="10" t="str">
        <f>'APÊNDICE II-MEMÓRIA DE CÁLCULO'!E79</f>
        <v>UNIDADE</v>
      </c>
      <c r="F78" s="27">
        <f>'APÊNDICE II-MEMÓRIA DE CÁLCULO'!L79</f>
        <v>400</v>
      </c>
      <c r="G78" s="13">
        <f>'APÊNDICE III - MAPA DE PREÇOS'!X78</f>
        <v>15.01</v>
      </c>
      <c r="H78" s="13">
        <f t="shared" si="1"/>
        <v>6004</v>
      </c>
    </row>
    <row r="79" spans="1:8" ht="165" x14ac:dyDescent="0.3">
      <c r="A79" s="1">
        <v>75</v>
      </c>
      <c r="B79" s="10">
        <f>'APÊNDICE II-MEMÓRIA DE CÁLCULO'!B80</f>
        <v>12317</v>
      </c>
      <c r="C79" s="10">
        <f>'APÊNDICE II-MEMÓRIA DE CÁLCULO'!C80</f>
        <v>438473</v>
      </c>
      <c r="D79" s="11" t="str">
        <f>'APÊNDICE II-MEMÓRIA DE CÁLCULO'!D80</f>
        <v>Dreno cirúrgico - modelo: torácico, calibre: Nº 10,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79" s="10" t="str">
        <f>'APÊNDICE II-MEMÓRIA DE CÁLCULO'!E80</f>
        <v>UNIDADE</v>
      </c>
      <c r="F79" s="27">
        <f>'APÊNDICE II-MEMÓRIA DE CÁLCULO'!L80</f>
        <v>10</v>
      </c>
      <c r="G79" s="13">
        <f>'APÊNDICE III - MAPA DE PREÇOS'!X79</f>
        <v>6.12</v>
      </c>
      <c r="H79" s="13">
        <f t="shared" si="1"/>
        <v>61.2</v>
      </c>
    </row>
    <row r="80" spans="1:8" ht="165" x14ac:dyDescent="0.3">
      <c r="A80" s="1">
        <v>76</v>
      </c>
      <c r="B80" s="10">
        <f>'APÊNDICE II-MEMÓRIA DE CÁLCULO'!B81</f>
        <v>12318</v>
      </c>
      <c r="C80" s="10">
        <f>'APÊNDICE II-MEMÓRIA DE CÁLCULO'!C81</f>
        <v>438461</v>
      </c>
      <c r="D80" s="11" t="str">
        <f>'APÊNDICE II-MEMÓRIA DE CÁLCULO'!D81</f>
        <v>Dreno cirúrgico - modelo: torácico, calibre: Nº 14,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0" s="10" t="str">
        <f>'APÊNDICE II-MEMÓRIA DE CÁLCULO'!E81</f>
        <v>UNIDADE</v>
      </c>
      <c r="F80" s="27">
        <f>'APÊNDICE II-MEMÓRIA DE CÁLCULO'!L81</f>
        <v>10</v>
      </c>
      <c r="G80" s="13">
        <f>'APÊNDICE III - MAPA DE PREÇOS'!X80</f>
        <v>5.15</v>
      </c>
      <c r="H80" s="13">
        <f t="shared" si="1"/>
        <v>51.5</v>
      </c>
    </row>
    <row r="81" spans="1:8" ht="165" x14ac:dyDescent="0.3">
      <c r="A81" s="1">
        <v>77</v>
      </c>
      <c r="B81" s="10">
        <f>'APÊNDICE II-MEMÓRIA DE CÁLCULO'!B82</f>
        <v>12319</v>
      </c>
      <c r="C81" s="10">
        <f>'APÊNDICE II-MEMÓRIA DE CÁLCULO'!C82</f>
        <v>438463</v>
      </c>
      <c r="D81" s="11" t="str">
        <f>'APÊNDICE II-MEMÓRIA DE CÁLCULO'!D82</f>
        <v>Dreno cirúrgico - modelo: torácico, calibre: Nº 18,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1" s="10" t="str">
        <f>'APÊNDICE II-MEMÓRIA DE CÁLCULO'!E82</f>
        <v>UNIDADE</v>
      </c>
      <c r="F81" s="27">
        <f>'APÊNDICE II-MEMÓRIA DE CÁLCULO'!L82</f>
        <v>10</v>
      </c>
      <c r="G81" s="13">
        <f>'APÊNDICE III - MAPA DE PREÇOS'!X81</f>
        <v>5.67</v>
      </c>
      <c r="H81" s="13">
        <f t="shared" si="1"/>
        <v>56.7</v>
      </c>
    </row>
    <row r="82" spans="1:8" ht="165" x14ac:dyDescent="0.3">
      <c r="A82" s="1">
        <v>78</v>
      </c>
      <c r="B82" s="10">
        <f>'APÊNDICE II-MEMÓRIA DE CÁLCULO'!B83</f>
        <v>12320</v>
      </c>
      <c r="C82" s="10">
        <f>'APÊNDICE II-MEMÓRIA DE CÁLCULO'!C83</f>
        <v>438475</v>
      </c>
      <c r="D82" s="11" t="str">
        <f>'APÊNDICE II-MEMÓRIA DE CÁLCULO'!D83</f>
        <v>Dreno cirúrgico - modelo: torácico, calibre: Nº 20,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2" s="10" t="str">
        <f>'APÊNDICE II-MEMÓRIA DE CÁLCULO'!E83</f>
        <v>UNIDADE</v>
      </c>
      <c r="F82" s="27">
        <f>'APÊNDICE II-MEMÓRIA DE CÁLCULO'!L83</f>
        <v>10</v>
      </c>
      <c r="G82" s="13">
        <f>'APÊNDICE III - MAPA DE PREÇOS'!X82</f>
        <v>4.75</v>
      </c>
      <c r="H82" s="13">
        <f t="shared" si="1"/>
        <v>47.5</v>
      </c>
    </row>
    <row r="83" spans="1:8" ht="165" x14ac:dyDescent="0.3">
      <c r="A83" s="1">
        <v>79</v>
      </c>
      <c r="B83" s="10">
        <f>'APÊNDICE II-MEMÓRIA DE CÁLCULO'!B84</f>
        <v>12321</v>
      </c>
      <c r="C83" s="10">
        <f>'APÊNDICE II-MEMÓRIA DE CÁLCULO'!C84</f>
        <v>438466</v>
      </c>
      <c r="D83" s="11" t="str">
        <f>'APÊNDICE II-MEMÓRIA DE CÁLCULO'!D84</f>
        <v>Dreno cirúrgico - modelo: torácico, calibre: Nº 24,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3" s="10" t="str">
        <f>'APÊNDICE II-MEMÓRIA DE CÁLCULO'!E84</f>
        <v>UNIDADE</v>
      </c>
      <c r="F83" s="27">
        <f>'APÊNDICE II-MEMÓRIA DE CÁLCULO'!L84</f>
        <v>10</v>
      </c>
      <c r="G83" s="13">
        <f>'APÊNDICE III - MAPA DE PREÇOS'!X83</f>
        <v>5.77</v>
      </c>
      <c r="H83" s="13">
        <f t="shared" si="1"/>
        <v>57.699999999999996</v>
      </c>
    </row>
    <row r="84" spans="1:8" ht="165" x14ac:dyDescent="0.3">
      <c r="A84" s="1">
        <v>80</v>
      </c>
      <c r="B84" s="10">
        <f>'APÊNDICE II-MEMÓRIA DE CÁLCULO'!B85</f>
        <v>12322</v>
      </c>
      <c r="C84" s="10">
        <f>'APÊNDICE II-MEMÓRIA DE CÁLCULO'!C85</f>
        <v>438471</v>
      </c>
      <c r="D84" s="11" t="str">
        <f>'APÊNDICE II-MEMÓRIA DE CÁLCULO'!D85</f>
        <v>Dreno cirúrgico - modelo: torácico, calibre: Nº 28,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4" s="10" t="str">
        <f>'APÊNDICE II-MEMÓRIA DE CÁLCULO'!E85</f>
        <v>UNIDADE</v>
      </c>
      <c r="F84" s="27">
        <f>'APÊNDICE II-MEMÓRIA DE CÁLCULO'!L85</f>
        <v>10</v>
      </c>
      <c r="G84" s="13">
        <f>'APÊNDICE III - MAPA DE PREÇOS'!X84</f>
        <v>7.13</v>
      </c>
      <c r="H84" s="13">
        <f t="shared" si="1"/>
        <v>71.3</v>
      </c>
    </row>
    <row r="85" spans="1:8" ht="198" x14ac:dyDescent="0.3">
      <c r="A85" s="1">
        <v>81</v>
      </c>
      <c r="B85" s="10">
        <f>'APÊNDICE II-MEMÓRIA DE CÁLCULO'!B86</f>
        <v>12323</v>
      </c>
      <c r="C85" s="10">
        <f>'APÊNDICE II-MEMÓRIA DE CÁLCULO'!C86</f>
        <v>438478</v>
      </c>
      <c r="D85" s="11" t="str">
        <f>'APÊNDICE II-MEMÓRIA DE CÁLCULO'!D86</f>
        <v xml:space="preserve">Dreno cirúrgico - modelo: torácico, calibre: Nº 32,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
</v>
      </c>
      <c r="E85" s="10" t="str">
        <f>'APÊNDICE II-MEMÓRIA DE CÁLCULO'!E86</f>
        <v>UNIDADE</v>
      </c>
      <c r="F85" s="27">
        <f>'APÊNDICE II-MEMÓRIA DE CÁLCULO'!L86</f>
        <v>10</v>
      </c>
      <c r="G85" s="13">
        <f>'APÊNDICE III - MAPA DE PREÇOS'!X85</f>
        <v>8.59</v>
      </c>
      <c r="H85" s="13">
        <f t="shared" si="1"/>
        <v>85.9</v>
      </c>
    </row>
    <row r="86" spans="1:8" ht="165" x14ac:dyDescent="0.3">
      <c r="A86" s="1">
        <v>82</v>
      </c>
      <c r="B86" s="10">
        <f>'APÊNDICE II-MEMÓRIA DE CÁLCULO'!B87</f>
        <v>12324</v>
      </c>
      <c r="C86" s="10">
        <f>'APÊNDICE II-MEMÓRIA DE CÁLCULO'!C87</f>
        <v>438472</v>
      </c>
      <c r="D86" s="11" t="str">
        <f>'APÊNDICE II-MEMÓRIA DE CÁLCULO'!D87</f>
        <v>Dreno cirúrgico - modelo: torácico, calibre: Nº 34,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6" s="10" t="str">
        <f>'APÊNDICE II-MEMÓRIA DE CÁLCULO'!E87</f>
        <v>UNIDADE</v>
      </c>
      <c r="F86" s="27">
        <f>'APÊNDICE II-MEMÓRIA DE CÁLCULO'!L87</f>
        <v>10</v>
      </c>
      <c r="G86" s="13">
        <f>'APÊNDICE III - MAPA DE PREÇOS'!X86</f>
        <v>10.72</v>
      </c>
      <c r="H86" s="13">
        <f t="shared" si="1"/>
        <v>107.2</v>
      </c>
    </row>
    <row r="87" spans="1:8" ht="165" x14ac:dyDescent="0.3">
      <c r="A87" s="1">
        <v>83</v>
      </c>
      <c r="B87" s="10">
        <f>'APÊNDICE II-MEMÓRIA DE CÁLCULO'!B88</f>
        <v>12325</v>
      </c>
      <c r="C87" s="10">
        <f>'APÊNDICE II-MEMÓRIA DE CÁLCULO'!C88</f>
        <v>438468</v>
      </c>
      <c r="D87" s="11" t="str">
        <f>'APÊNDICE II-MEMÓRIA DE CÁLCULO'!D88</f>
        <v>Dreno cirúrgico - modelo: torácico, calibre: Nº 36,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7" s="10" t="str">
        <f>'APÊNDICE II-MEMÓRIA DE CÁLCULO'!E88</f>
        <v>UNIDADE</v>
      </c>
      <c r="F87" s="27">
        <f>'APÊNDICE II-MEMÓRIA DE CÁLCULO'!L88</f>
        <v>10</v>
      </c>
      <c r="G87" s="13">
        <f>'APÊNDICE III - MAPA DE PREÇOS'!X87</f>
        <v>8.44</v>
      </c>
      <c r="H87" s="13">
        <f t="shared" si="1"/>
        <v>84.399999999999991</v>
      </c>
    </row>
    <row r="88" spans="1:8" ht="165" x14ac:dyDescent="0.3">
      <c r="A88" s="1">
        <v>84</v>
      </c>
      <c r="B88" s="10">
        <f>'APÊNDICE II-MEMÓRIA DE CÁLCULO'!B89</f>
        <v>12326</v>
      </c>
      <c r="C88" s="10">
        <f>'APÊNDICE II-MEMÓRIA DE CÁLCULO'!C89</f>
        <v>438469</v>
      </c>
      <c r="D88" s="11" t="str">
        <f>'APÊNDICE II-MEMÓRIA DE CÁLCULO'!D89</f>
        <v>Dreno cirúrgico - modelo: torácico, calibre: Nº 38,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8" s="10" t="str">
        <f>'APÊNDICE II-MEMÓRIA DE CÁLCULO'!E89</f>
        <v>UNIDADE</v>
      </c>
      <c r="F88" s="27">
        <f>'APÊNDICE II-MEMÓRIA DE CÁLCULO'!L89</f>
        <v>10</v>
      </c>
      <c r="G88" s="13">
        <f>'APÊNDICE III - MAPA DE PREÇOS'!X88</f>
        <v>6.73</v>
      </c>
      <c r="H88" s="13">
        <f t="shared" si="1"/>
        <v>67.300000000000011</v>
      </c>
    </row>
    <row r="89" spans="1:8" ht="165" x14ac:dyDescent="0.3">
      <c r="A89" s="1">
        <v>85</v>
      </c>
      <c r="B89" s="10">
        <f>'APÊNDICE II-MEMÓRIA DE CÁLCULO'!B90</f>
        <v>12328</v>
      </c>
      <c r="C89" s="10">
        <f>'APÊNDICE II-MEMÓRIA DE CÁLCULO'!C90</f>
        <v>438476</v>
      </c>
      <c r="D89" s="11" t="str">
        <f>'APÊNDICE II-MEMÓRIA DE CÁLCULO'!D90</f>
        <v>Dreno cirúrgico - modelo: torácico, calibre: Nº 40,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9" s="10" t="str">
        <f>'APÊNDICE II-MEMÓRIA DE CÁLCULO'!E90</f>
        <v>UNIDADE</v>
      </c>
      <c r="F89" s="27">
        <f>'APÊNDICE II-MEMÓRIA DE CÁLCULO'!L90</f>
        <v>10</v>
      </c>
      <c r="G89" s="13">
        <f>'APÊNDICE III - MAPA DE PREÇOS'!X89</f>
        <v>6.93</v>
      </c>
      <c r="H89" s="13">
        <f t="shared" si="1"/>
        <v>69.3</v>
      </c>
    </row>
    <row r="90" spans="1:8" ht="99" x14ac:dyDescent="0.3">
      <c r="A90" s="1">
        <v>86</v>
      </c>
      <c r="B90" s="10">
        <f>'APÊNDICE II-MEMÓRIA DE CÁLCULO'!B91</f>
        <v>12329</v>
      </c>
      <c r="C90" s="10">
        <f>'APÊNDICE II-MEMÓRIA DE CÁLCULO'!C91</f>
        <v>328078</v>
      </c>
      <c r="D90" s="11" t="str">
        <f>'APÊNDICE II-MEMÓRIA DE CÁLCULO'!D91</f>
        <v>Detergente enzimático - com 04 enzimas, composição: lipase, amilase, protease, carboidrase, capacidade: galão com 5 litros, características adicionais: embalagem contendo externamente dados de identificação, prazo de validade e registro em órgão competente.</v>
      </c>
      <c r="E90" s="10" t="str">
        <f>'APÊNDICE II-MEMÓRIA DE CÁLCULO'!E91</f>
        <v>GALÃO</v>
      </c>
      <c r="F90" s="27">
        <f>'APÊNDICE II-MEMÓRIA DE CÁLCULO'!L91</f>
        <v>40</v>
      </c>
      <c r="G90" s="13">
        <f>'APÊNDICE III - MAPA DE PREÇOS'!X90</f>
        <v>92.97</v>
      </c>
      <c r="H90" s="13">
        <f t="shared" si="1"/>
        <v>3718.8</v>
      </c>
    </row>
    <row r="91" spans="1:8" ht="231" x14ac:dyDescent="0.3">
      <c r="A91" s="1">
        <v>87</v>
      </c>
      <c r="B91" s="10">
        <f>'APÊNDICE II-MEMÓRIA DE CÁLCULO'!B92</f>
        <v>12330</v>
      </c>
      <c r="C91" s="10" t="str">
        <f>'APÊNDICE II-MEMÓRIA DE CÁLCULO'!C92</f>
        <v>-</v>
      </c>
      <c r="D91" s="11" t="str">
        <f>'APÊNDICE II-MEMÓRIA DE CÁLCULO'!D92</f>
        <v>Dispositivo de infusão intravenosa nº 19 G - Contendo escalpe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1" s="10" t="str">
        <f>'APÊNDICE II-MEMÓRIA DE CÁLCULO'!E92</f>
        <v>UNIDADE</v>
      </c>
      <c r="F91" s="27">
        <f>'APÊNDICE II-MEMÓRIA DE CÁLCULO'!L92</f>
        <v>1200</v>
      </c>
      <c r="G91" s="13">
        <f>'APÊNDICE III - MAPA DE PREÇOS'!X91</f>
        <v>0.28000000000000003</v>
      </c>
      <c r="H91" s="13">
        <f t="shared" si="1"/>
        <v>336.00000000000006</v>
      </c>
    </row>
    <row r="92" spans="1:8" ht="231" x14ac:dyDescent="0.3">
      <c r="A92" s="1">
        <v>88</v>
      </c>
      <c r="B92" s="10">
        <f>'APÊNDICE II-MEMÓRIA DE CÁLCULO'!B93</f>
        <v>12331</v>
      </c>
      <c r="C92" s="10" t="str">
        <f>'APÊNDICE II-MEMÓRIA DE CÁLCULO'!C93</f>
        <v>-</v>
      </c>
      <c r="D92" s="11" t="str">
        <f>'APÊNDICE II-MEMÓRIA DE CÁLCULO'!D93</f>
        <v>Dispositivo de infusão intravenosa nº 21 G - contendo escaple com dispositivo de segurança atendendo a norma NR32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2" s="10" t="str">
        <f>'APÊNDICE II-MEMÓRIA DE CÁLCULO'!E93</f>
        <v>UNIDADE</v>
      </c>
      <c r="F92" s="27">
        <f>'APÊNDICE II-MEMÓRIA DE CÁLCULO'!L93</f>
        <v>5000</v>
      </c>
      <c r="G92" s="13">
        <f>'APÊNDICE III - MAPA DE PREÇOS'!X92</f>
        <v>0.35</v>
      </c>
      <c r="H92" s="13">
        <f t="shared" si="1"/>
        <v>1750</v>
      </c>
    </row>
    <row r="93" spans="1:8" ht="231" x14ac:dyDescent="0.3">
      <c r="A93" s="1">
        <v>89</v>
      </c>
      <c r="B93" s="10">
        <f>'APÊNDICE II-MEMÓRIA DE CÁLCULO'!B94</f>
        <v>12332</v>
      </c>
      <c r="C93" s="10" t="str">
        <f>'APÊNDICE II-MEMÓRIA DE CÁLCULO'!C94</f>
        <v>-</v>
      </c>
      <c r="D93" s="11" t="str">
        <f>'APÊNDICE II-MEMÓRIA DE CÁLCULO'!D94</f>
        <v>Dispositivo de infusão intravenosa nº 23 G - contendo escalpe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3" s="10" t="str">
        <f>'APÊNDICE II-MEMÓRIA DE CÁLCULO'!E94</f>
        <v>UNIDADE</v>
      </c>
      <c r="F93" s="27">
        <f>'APÊNDICE II-MEMÓRIA DE CÁLCULO'!L94</f>
        <v>12200</v>
      </c>
      <c r="G93" s="13">
        <f>'APÊNDICE III - MAPA DE PREÇOS'!X93</f>
        <v>0.43</v>
      </c>
      <c r="H93" s="13">
        <f t="shared" si="1"/>
        <v>5246</v>
      </c>
    </row>
    <row r="94" spans="1:8" ht="231" x14ac:dyDescent="0.3">
      <c r="A94" s="1">
        <v>90</v>
      </c>
      <c r="B94" s="10">
        <f>'APÊNDICE II-MEMÓRIA DE CÁLCULO'!B95</f>
        <v>12333</v>
      </c>
      <c r="C94" s="10" t="str">
        <f>'APÊNDICE II-MEMÓRIA DE CÁLCULO'!C95</f>
        <v>-</v>
      </c>
      <c r="D94" s="11" t="str">
        <f>'APÊNDICE II-MEMÓRIA DE CÁLCULO'!D95</f>
        <v>Dispositivo de infusão intravenosa nº 25 G - contendo escaple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4" s="10" t="str">
        <f>'APÊNDICE II-MEMÓRIA DE CÁLCULO'!E95</f>
        <v>UNIDADE</v>
      </c>
      <c r="F94" s="27">
        <f>'APÊNDICE II-MEMÓRIA DE CÁLCULO'!L95</f>
        <v>700</v>
      </c>
      <c r="G94" s="13">
        <f>'APÊNDICE III - MAPA DE PREÇOS'!X94</f>
        <v>0.27</v>
      </c>
      <c r="H94" s="13">
        <f t="shared" si="1"/>
        <v>189</v>
      </c>
    </row>
    <row r="95" spans="1:8" ht="346.5" x14ac:dyDescent="0.3">
      <c r="A95" s="1">
        <v>91</v>
      </c>
      <c r="B95" s="10">
        <f>'APÊNDICE II-MEMÓRIA DE CÁLCULO'!B96</f>
        <v>12334</v>
      </c>
      <c r="C95" s="10" t="str">
        <f>'APÊNDICE II-MEMÓRIA DE CÁLCULO'!C96</f>
        <v>-</v>
      </c>
      <c r="D95" s="11" t="str">
        <f>'APÊNDICE II-MEMÓRIA DE CÁLCULO'!D96</f>
        <v>Dispositivo para transferência de fluídos estéreis - (soluções parenterais), uso em sistema fechado, perfeitamente adaptável, de modo universal, a qualquer embalagem de sistema fechado, sem contato com o ambiente externo, de uso único descartável, estéril, atóxico, duas pontas perfurantes com tampa protetora, pega ergonômica que evita o contato das mãos e facilita o manuseio pelo profissional. Embalagem: acondicionada individualmente de acordo com normas de embalagem RDC 185/2001, que garanta a integridade do produto ate o momento da sua utilização, permita a abertura e transferência com técnica asséptica, constando externamente dados de identificação do produto, nº de lote, data, validade e método de esterilização, dados de identificação do fabricante, nº.de registro no ministério da saúde dispositivo para transferência de fluídos estéreis - para utilização em frascos de soros fisiológico e água destilada, para a realização de procedimentos de nebulização, lavagens de curativos, umidificadores.</v>
      </c>
      <c r="E95" s="10" t="str">
        <f>'APÊNDICE II-MEMÓRIA DE CÁLCULO'!E96</f>
        <v>UNIDADE</v>
      </c>
      <c r="F95" s="27">
        <f>'APÊNDICE II-MEMÓRIA DE CÁLCULO'!L96</f>
        <v>1500</v>
      </c>
      <c r="G95" s="13">
        <f>'APÊNDICE III - MAPA DE PREÇOS'!X95</f>
        <v>0.9</v>
      </c>
      <c r="H95" s="13">
        <f t="shared" si="1"/>
        <v>1350</v>
      </c>
    </row>
    <row r="96" spans="1:8" ht="165" x14ac:dyDescent="0.3">
      <c r="A96" s="1">
        <v>92</v>
      </c>
      <c r="B96" s="10">
        <f>'APÊNDICE II-MEMÓRIA DE CÁLCULO'!B97</f>
        <v>12335</v>
      </c>
      <c r="C96" s="10" t="str">
        <f>'APÊNDICE II-MEMÓRIA DE CÁLCULO'!C97</f>
        <v>-</v>
      </c>
      <c r="D96" s="11" t="str">
        <f>'APÊNDICE II-MEMÓRIA DE CÁLCULO'!D97</f>
        <v>Espaçador para aerossolterapia infantil, máscara tamanho: P (0 a 2 anos),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v>
      </c>
      <c r="E96" s="10" t="str">
        <f>'APÊNDICE II-MEMÓRIA DE CÁLCULO'!E97</f>
        <v>UNIDADE</v>
      </c>
      <c r="F96" s="27">
        <f>'APÊNDICE II-MEMÓRIA DE CÁLCULO'!L97</f>
        <v>100</v>
      </c>
      <c r="G96" s="13">
        <f>'APÊNDICE III - MAPA DE PREÇOS'!X96</f>
        <v>21.29</v>
      </c>
      <c r="H96" s="13">
        <f t="shared" si="1"/>
        <v>2129</v>
      </c>
    </row>
    <row r="97" spans="1:8" ht="132" x14ac:dyDescent="0.3">
      <c r="A97" s="1">
        <v>93</v>
      </c>
      <c r="B97" s="10">
        <f>'APÊNDICE II-MEMÓRIA DE CÁLCULO'!B98</f>
        <v>12336</v>
      </c>
      <c r="C97" s="10" t="str">
        <f>'APÊNDICE II-MEMÓRIA DE CÁLCULO'!C98</f>
        <v>-</v>
      </c>
      <c r="D97" s="11" t="str">
        <f>'APÊNDICE II-MEMÓRIA DE CÁLCULO'!D98</f>
        <v>Equipo para transfusão sanguínea (sangue) - Tamanho: 150cm,  Lanceta perfurante para conexão ao recipiente sangue; Câmara dupla flexível sendo a primeira dotada de filtro de sangue para retenção de coágulos, e a segunda para visualização e controle de gotejamento; Extensão em PVC; Controlador de fluxo (gotejamento) tipo pinça rolete; Conexão luer para dispositivo de acesso venoso.</v>
      </c>
      <c r="E97" s="10" t="str">
        <f>'APÊNDICE II-MEMÓRIA DE CÁLCULO'!E98</f>
        <v>UNIDADE</v>
      </c>
      <c r="F97" s="27">
        <f>'APÊNDICE II-MEMÓRIA DE CÁLCULO'!L98</f>
        <v>1000</v>
      </c>
      <c r="G97" s="13">
        <f>'APÊNDICE III - MAPA DE PREÇOS'!X97</f>
        <v>4.8600000000000003</v>
      </c>
      <c r="H97" s="13">
        <f t="shared" si="1"/>
        <v>4860</v>
      </c>
    </row>
    <row r="98" spans="1:8" ht="165" x14ac:dyDescent="0.3">
      <c r="A98" s="1">
        <v>94</v>
      </c>
      <c r="B98" s="10">
        <f>'APÊNDICE II-MEMÓRIA DE CÁLCULO'!B99</f>
        <v>12337</v>
      </c>
      <c r="C98" s="10" t="str">
        <f>'APÊNDICE II-MEMÓRIA DE CÁLCULO'!C99</f>
        <v>-</v>
      </c>
      <c r="D98" s="11" t="str">
        <f>'APÊNDICE II-MEMÓRIA DE CÁLCULO'!D99</f>
        <v>Espaçador para aerossolterapia adulto - máscara tamanho: adulto,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v>
      </c>
      <c r="E98" s="10" t="str">
        <f>'APÊNDICE II-MEMÓRIA DE CÁLCULO'!E99</f>
        <v>UNIDADE</v>
      </c>
      <c r="F98" s="27">
        <f>'APÊNDICE II-MEMÓRIA DE CÁLCULO'!L99</f>
        <v>100</v>
      </c>
      <c r="G98" s="13">
        <f>'APÊNDICE III - MAPA DE PREÇOS'!X98</f>
        <v>30.16</v>
      </c>
      <c r="H98" s="13">
        <f t="shared" si="1"/>
        <v>3016</v>
      </c>
    </row>
    <row r="99" spans="1:8" ht="99" x14ac:dyDescent="0.3">
      <c r="A99" s="1">
        <v>95</v>
      </c>
      <c r="B99" s="10">
        <f>'APÊNDICE II-MEMÓRIA DE CÁLCULO'!B100</f>
        <v>12338</v>
      </c>
      <c r="C99" s="10" t="str">
        <f>'APÊNDICE II-MEMÓRIA DE CÁLCULO'!C100</f>
        <v>-</v>
      </c>
      <c r="D99" s="11" t="str">
        <f>'APÊNDICE II-MEMÓRIA DE CÁLCULO'!D100</f>
        <v>Éter etílico - concentração: 35%, apresentação: líquido, capacidade: frasco com 1 litro, características adicionais: incolor, de odor penetrante, inflamável e volátil. Embalagem com dados de identificação e procedência, data de fabricação expedida por órgão competente.</v>
      </c>
      <c r="E99" s="10" t="str">
        <f>'APÊNDICE II-MEMÓRIA DE CÁLCULO'!E100</f>
        <v>UNIDADE</v>
      </c>
      <c r="F99" s="27">
        <f>'APÊNDICE II-MEMÓRIA DE CÁLCULO'!L100</f>
        <v>20</v>
      </c>
      <c r="G99" s="13">
        <f>'APÊNDICE III - MAPA DE PREÇOS'!X99</f>
        <v>35.119999999999997</v>
      </c>
      <c r="H99" s="13">
        <f t="shared" si="1"/>
        <v>702.4</v>
      </c>
    </row>
    <row r="100" spans="1:8" ht="231" x14ac:dyDescent="0.3">
      <c r="A100" s="1">
        <v>96</v>
      </c>
      <c r="B100" s="10">
        <f>'APÊNDICE II-MEMÓRIA DE CÁLCULO'!B101</f>
        <v>12339</v>
      </c>
      <c r="C100" s="10">
        <f>'APÊNDICE II-MEMÓRIA DE CÁLCULO'!C101</f>
        <v>386115</v>
      </c>
      <c r="D100" s="11" t="str">
        <f>'APÊNDICE II-MEMÓRIA DE CÁLCULO'!D101</f>
        <v>Equipo micro gotas com injetor lateral - material: PVC transparente, comprimento: mínimo de 1,20M, volume bureta: mínimo de 50 ML, características adicionais: para soro microgotas com pinça roldana, câmara flexível, composta de lanceta com ponta perfurante, escalonada, regulador de fluxo tipo rolete, tubo flexível,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v>
      </c>
      <c r="E100" s="10" t="str">
        <f>'APÊNDICE II-MEMÓRIA DE CÁLCULO'!E101</f>
        <v>UNIDADE</v>
      </c>
      <c r="F100" s="27">
        <f>'APÊNDICE II-MEMÓRIA DE CÁLCULO'!L101</f>
        <v>100</v>
      </c>
      <c r="G100" s="13">
        <f>'APÊNDICE III - MAPA DE PREÇOS'!X100</f>
        <v>1.05</v>
      </c>
      <c r="H100" s="13">
        <f t="shared" si="1"/>
        <v>105</v>
      </c>
    </row>
    <row r="101" spans="1:8" ht="214.5" x14ac:dyDescent="0.3">
      <c r="A101" s="1">
        <v>97</v>
      </c>
      <c r="B101" s="10">
        <f>'APÊNDICE II-MEMÓRIA DE CÁLCULO'!B102</f>
        <v>12340</v>
      </c>
      <c r="C101" s="10" t="str">
        <f>'APÊNDICE II-MEMÓRIA DE CÁLCULO'!C102</f>
        <v>-</v>
      </c>
      <c r="D101" s="11" t="str">
        <f>'APÊNDICE II-MEMÓRIA DE CÁLCULO'!D102</f>
        <v>Equipo macrogotas - uso: para soro, material: tudo flexível em PVC transparente, com pinça roldana, comprimento: mínimo de 1,20M, características adicionais: câmara flexível, composta de lanceta com ponta perfurante, escalonada, regulador de fluxo tipo rolete, com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v>
      </c>
      <c r="E101" s="10" t="str">
        <f>'APÊNDICE II-MEMÓRIA DE CÁLCULO'!E102</f>
        <v>UNIDADE</v>
      </c>
      <c r="F101" s="27">
        <f>'APÊNDICE II-MEMÓRIA DE CÁLCULO'!L102</f>
        <v>30950</v>
      </c>
      <c r="G101" s="13">
        <f>'APÊNDICE III - MAPA DE PREÇOS'!X101</f>
        <v>1.03</v>
      </c>
      <c r="H101" s="13">
        <f t="shared" si="1"/>
        <v>31878.5</v>
      </c>
    </row>
    <row r="102" spans="1:8" ht="132" x14ac:dyDescent="0.3">
      <c r="A102" s="1">
        <v>98</v>
      </c>
      <c r="B102" s="10">
        <f>'APÊNDICE II-MEMÓRIA DE CÁLCULO'!B103</f>
        <v>12341</v>
      </c>
      <c r="C102" s="10" t="str">
        <f>'APÊNDICE II-MEMÓRIA DE CÁLCULO'!C103</f>
        <v>-</v>
      </c>
      <c r="D102" s="11" t="str">
        <f>'APÊNDICE II-MEMÓRIA DE CÁLCULO'!D103</f>
        <v>Equipo 2 vias Multivias - dispositivo multiplicador de acesso venoso, luer fêmea de 2 vias, com clamp de fechamento rápido nas vias, material: PVC flexível. Embalagem individual de papel grau cirúrgico e/ou com filme termoplástico, com abertura em pétala, constando externamente dados de identificação e procedência, data e tipo de esterilização, prazo de validade e registro em órgão competente.</v>
      </c>
      <c r="E102" s="10" t="str">
        <f>'APÊNDICE II-MEMÓRIA DE CÁLCULO'!E103</f>
        <v>UNIDADE</v>
      </c>
      <c r="F102" s="27">
        <f>'APÊNDICE II-MEMÓRIA DE CÁLCULO'!L103</f>
        <v>600</v>
      </c>
      <c r="G102" s="13">
        <f>'APÊNDICE III - MAPA DE PREÇOS'!X102</f>
        <v>0.82</v>
      </c>
      <c r="H102" s="13">
        <f t="shared" si="1"/>
        <v>491.99999999999994</v>
      </c>
    </row>
    <row r="103" spans="1:8" ht="99" x14ac:dyDescent="0.3">
      <c r="A103" s="1">
        <v>99</v>
      </c>
      <c r="B103" s="10">
        <f>'APÊNDICE II-MEMÓRIA DE CÁLCULO'!B104</f>
        <v>16557</v>
      </c>
      <c r="C103" s="10" t="str">
        <f>'APÊNDICE II-MEMÓRIA DE CÁLCULO'!C104</f>
        <v>-</v>
      </c>
      <c r="D103" s="11" t="str">
        <f>'APÊNDICE II-MEMÓRIA DE CÁLCULO'!D104</f>
        <v>Eletrodo - uso médico, aplicação: ECG, tipo uso: descartável, uso único, material: espuma/ gel sólido, apresentação: características adicionais: embalagem protetora individual contendo externamente dados de identificação e procedência, lote e registro em órgão competente</v>
      </c>
      <c r="E103" s="10" t="str">
        <f>'APÊNDICE II-MEMÓRIA DE CÁLCULO'!E104</f>
        <v>UNIDADE</v>
      </c>
      <c r="F103" s="27">
        <f>'APÊNDICE II-MEMÓRIA DE CÁLCULO'!L104</f>
        <v>3876</v>
      </c>
      <c r="G103" s="13">
        <f>'APÊNDICE III - MAPA DE PREÇOS'!X103</f>
        <v>0.38</v>
      </c>
      <c r="H103" s="13">
        <f t="shared" si="1"/>
        <v>1472.88</v>
      </c>
    </row>
    <row r="104" spans="1:8" ht="99" x14ac:dyDescent="0.3">
      <c r="A104" s="1">
        <v>100</v>
      </c>
      <c r="B104" s="10">
        <f>'APÊNDICE II-MEMÓRIA DE CÁLCULO'!B105</f>
        <v>12343</v>
      </c>
      <c r="C104" s="10">
        <f>'APÊNDICE II-MEMÓRIA DE CÁLCULO'!C105</f>
        <v>432464</v>
      </c>
      <c r="D104" s="11" t="str">
        <f>'APÊNDICE II-MEMÓRIA DE CÁLCULO'!D105</f>
        <v xml:space="preserve">Esfigmomanômetro - tamanho: adulto, tipo: analógico com estetoscópio, material: braçadeira em nylon, fecho em velcro, características adicionais: embalagem primária contendo identificação, número do lote, mês e ano de fabricação e validade, e registro em órgão competente. </v>
      </c>
      <c r="E104" s="10" t="str">
        <f>'APÊNDICE II-MEMÓRIA DE CÁLCULO'!E105</f>
        <v>UNIDADE</v>
      </c>
      <c r="F104" s="27">
        <f>'APÊNDICE II-MEMÓRIA DE CÁLCULO'!L105</f>
        <v>150</v>
      </c>
      <c r="G104" s="13">
        <f>'APÊNDICE III - MAPA DE PREÇOS'!X104</f>
        <v>69.05</v>
      </c>
      <c r="H104" s="13">
        <f t="shared" si="1"/>
        <v>10357.5</v>
      </c>
    </row>
    <row r="105" spans="1:8" ht="99" x14ac:dyDescent="0.3">
      <c r="A105" s="1">
        <v>101</v>
      </c>
      <c r="B105" s="10">
        <f>'APÊNDICE II-MEMÓRIA DE CÁLCULO'!B106</f>
        <v>12344</v>
      </c>
      <c r="C105" s="10">
        <f>'APÊNDICE II-MEMÓRIA DE CÁLCULO'!C106</f>
        <v>432474</v>
      </c>
      <c r="D105" s="11" t="str">
        <f>'APÊNDICE II-MEMÓRIA DE CÁLCULO'!D106</f>
        <v xml:space="preserve">Esfigmomanômetro - tamanho: infantil, tipo: analógico com estetoscópio, material: braçadeira em nylon, fecho em velcro, características adicionais: embalagem primária contendo identificação, número do lote, mês e ano de fabricação e validade, e registro em órgão competente. </v>
      </c>
      <c r="E105" s="10" t="str">
        <f>'APÊNDICE II-MEMÓRIA DE CÁLCULO'!E106</f>
        <v>UNIDADE</v>
      </c>
      <c r="F105" s="27">
        <f>'APÊNDICE II-MEMÓRIA DE CÁLCULO'!L106</f>
        <v>12</v>
      </c>
      <c r="G105" s="13">
        <f>'APÊNDICE III - MAPA DE PREÇOS'!X105</f>
        <v>73.709999999999994</v>
      </c>
      <c r="H105" s="13">
        <f t="shared" si="1"/>
        <v>884.52</v>
      </c>
    </row>
    <row r="106" spans="1:8" ht="99" x14ac:dyDescent="0.3">
      <c r="A106" s="1">
        <v>102</v>
      </c>
      <c r="B106" s="10">
        <f>'APÊNDICE II-MEMÓRIA DE CÁLCULO'!B107</f>
        <v>12345</v>
      </c>
      <c r="C106" s="10">
        <f>'APÊNDICE II-MEMÓRIA DE CÁLCULO'!C107</f>
        <v>432480</v>
      </c>
      <c r="D106" s="11" t="str">
        <f>'APÊNDICE II-MEMÓRIA DE CÁLCULO'!D107</f>
        <v xml:space="preserve">Esfigmomanômetro - tamanho: adulto obeso, tipo: analógico com estetoscópio, material: braçadeira em nylon, fecho em velcro, características adicionais: embalagem primária contendo identificação, número do lote, mês e ano de fabricação e validade, e registro em órgão competente. </v>
      </c>
      <c r="E106" s="10" t="str">
        <f>'APÊNDICE II-MEMÓRIA DE CÁLCULO'!E107</f>
        <v>UNIDADE</v>
      </c>
      <c r="F106" s="27">
        <f>'APÊNDICE II-MEMÓRIA DE CÁLCULO'!L107</f>
        <v>6</v>
      </c>
      <c r="G106" s="13">
        <f>'APÊNDICE III - MAPA DE PREÇOS'!X106</f>
        <v>95.22</v>
      </c>
      <c r="H106" s="13">
        <f t="shared" si="1"/>
        <v>571.31999999999994</v>
      </c>
    </row>
    <row r="107" spans="1:8" ht="165" x14ac:dyDescent="0.3">
      <c r="A107" s="1">
        <v>103</v>
      </c>
      <c r="B107" s="10">
        <f>'APÊNDICE II-MEMÓRIA DE CÁLCULO'!B108</f>
        <v>12346</v>
      </c>
      <c r="C107" s="10">
        <f>'APÊNDICE II-MEMÓRIA DE CÁLCULO'!C108</f>
        <v>436952</v>
      </c>
      <c r="D107" s="11" t="str">
        <f>'APÊNDICE II-MEMÓRIA DE CÁLCULO'!D108</f>
        <v xml:space="preserve">Exercitador e incentivador respiratório - Modelo classic; Medidas do nível variam de 10 cmH2O até 40 cmH2O; Corpo: poliestireno cristal; Esperas, Anel e Mangueira: polietileno; Bocal: polipropileno; Anel de graduação de intensidade que varia de 0 a 3; O sistema de intensidade funciona também em graus intermediário (0,5, 1,5 etc.); Dimensões: Corpo: 13,5x6,9x14,2 cm (CxLxA); Mangueira: 26,6x1,6 cm (CxL); Bocal: 3,0x1,6 cm (CxL).
</v>
      </c>
      <c r="E107" s="10" t="str">
        <f>'APÊNDICE II-MEMÓRIA DE CÁLCULO'!E108</f>
        <v>UNIDADE</v>
      </c>
      <c r="F107" s="27">
        <f>'APÊNDICE II-MEMÓRIA DE CÁLCULO'!L108</f>
        <v>10</v>
      </c>
      <c r="G107" s="13">
        <f>'APÊNDICE III - MAPA DE PREÇOS'!X107</f>
        <v>32.72</v>
      </c>
      <c r="H107" s="13">
        <f t="shared" si="1"/>
        <v>327.2</v>
      </c>
    </row>
    <row r="108" spans="1:8" ht="99" x14ac:dyDescent="0.3">
      <c r="A108" s="1">
        <v>104</v>
      </c>
      <c r="B108" s="10">
        <f>'APÊNDICE II-MEMÓRIA DE CÁLCULO'!B109</f>
        <v>12347</v>
      </c>
      <c r="C108" s="10">
        <f>'APÊNDICE II-MEMÓRIA DE CÁLCULO'!C109</f>
        <v>461244</v>
      </c>
      <c r="D108" s="11" t="str">
        <f>'APÊNDICE II-MEMÓRIA DE CÁLCULO'!D109</f>
        <v>Eletrodo - uso médico, aplicação: para monitorização cardíaca ECG, tamanho: neonatal, esterilidade: uso único, tipo: adesivo, características adicionais: pré-alambrado, utiliza hidrogel adesivo e condutor que fornece adesão firme, minimizando a irritação na pele delicada dos recém-nascidos.</v>
      </c>
      <c r="E108" s="10" t="str">
        <f>'APÊNDICE II-MEMÓRIA DE CÁLCULO'!E109</f>
        <v>UNIDADE</v>
      </c>
      <c r="F108" s="27">
        <f>'APÊNDICE II-MEMÓRIA DE CÁLCULO'!L109</f>
        <v>50</v>
      </c>
      <c r="G108" s="13">
        <f>'APÊNDICE III - MAPA DE PREÇOS'!X108</f>
        <v>0.33</v>
      </c>
      <c r="H108" s="13">
        <f t="shared" si="1"/>
        <v>16.5</v>
      </c>
    </row>
    <row r="109" spans="1:8" ht="82.5" x14ac:dyDescent="0.3">
      <c r="A109" s="1">
        <v>105</v>
      </c>
      <c r="B109" s="10">
        <f>'APÊNDICE II-MEMÓRIA DE CÁLCULO'!B110</f>
        <v>12348</v>
      </c>
      <c r="C109" s="10" t="str">
        <f>'APÊNDICE II-MEMÓRIA DE CÁLCULO'!C110</f>
        <v>-</v>
      </c>
      <c r="D109" s="11" t="str">
        <f>'APÊNDICE II-MEMÓRIA DE CÁLCULO'!D110</f>
        <v>Equipo - para bomba de infusão, tipo conector: universal, esterilidade: estéril, não tóxico, uso único, material: pvc, características adicionais: equipo para administração de soluções venosas com câmara flexível e filtro de partículas.</v>
      </c>
      <c r="E109" s="10" t="str">
        <f>'APÊNDICE II-MEMÓRIA DE CÁLCULO'!E110</f>
        <v>UNIDADE</v>
      </c>
      <c r="F109" s="27">
        <f>'APÊNDICE II-MEMÓRIA DE CÁLCULO'!L110</f>
        <v>50</v>
      </c>
      <c r="G109" s="13">
        <f>'APÊNDICE III - MAPA DE PREÇOS'!X109</f>
        <v>17.59</v>
      </c>
      <c r="H109" s="13">
        <f t="shared" si="1"/>
        <v>879.5</v>
      </c>
    </row>
    <row r="110" spans="1:8" ht="280.5" x14ac:dyDescent="0.3">
      <c r="A110" s="1">
        <v>106</v>
      </c>
      <c r="B110" s="10">
        <f>'APÊNDICE II-MEMÓRIA DE CÁLCULO'!B111</f>
        <v>16333</v>
      </c>
      <c r="C110" s="10">
        <f>'APÊNDICE II-MEMÓRIA DE CÁLCULO'!C111</f>
        <v>425353</v>
      </c>
      <c r="D110" s="11" t="str">
        <f>'APÊNDICE II-MEMÓRIA DE CÁLCULO'!D111</f>
        <v>Fralda descartável infantil - TAMANHO P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3,5 a 5 kg. Referência: Pampers, Personalidade Baby, Huggies, Pompom, Mônica, Cremer ou similares.</v>
      </c>
      <c r="E110" s="10" t="str">
        <f>'APÊNDICE II-MEMÓRIA DE CÁLCULO'!E111</f>
        <v>UNIDADE</v>
      </c>
      <c r="F110" s="27">
        <f>'APÊNDICE II-MEMÓRIA DE CÁLCULO'!L111</f>
        <v>1000</v>
      </c>
      <c r="G110" s="13">
        <f>'APÊNDICE III - MAPA DE PREÇOS'!X110</f>
        <v>0.45</v>
      </c>
      <c r="H110" s="13">
        <f t="shared" si="1"/>
        <v>450</v>
      </c>
    </row>
    <row r="111" spans="1:8" ht="280.5" x14ac:dyDescent="0.3">
      <c r="A111" s="1">
        <v>107</v>
      </c>
      <c r="B111" s="10">
        <f>'APÊNDICE II-MEMÓRIA DE CÁLCULO'!B112</f>
        <v>16334</v>
      </c>
      <c r="C111" s="10">
        <f>'APÊNDICE II-MEMÓRIA DE CÁLCULO'!C112</f>
        <v>425354</v>
      </c>
      <c r="D111" s="11" t="str">
        <f>'APÊNDICE II-MEMÓRIA DE CÁLCULO'!D112</f>
        <v>Fralda descartável infantil - TAMANHO M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5 a 10 kg. Referência: Pampers, Personalidade Baby, Huggies, Pompom, Mônica, Cremer ou similares.</v>
      </c>
      <c r="E111" s="10" t="str">
        <f>'APÊNDICE II-MEMÓRIA DE CÁLCULO'!E112</f>
        <v>UNIDADE</v>
      </c>
      <c r="F111" s="27">
        <f>'APÊNDICE II-MEMÓRIA DE CÁLCULO'!M112</f>
        <v>16800</v>
      </c>
      <c r="G111" s="13">
        <f>'APÊNDICE III - MAPA DE PREÇOS'!X111</f>
        <v>0.56999999999999995</v>
      </c>
      <c r="H111" s="13">
        <f t="shared" si="1"/>
        <v>9576</v>
      </c>
    </row>
    <row r="112" spans="1:8" ht="280.5" x14ac:dyDescent="0.3">
      <c r="A112" s="1">
        <v>108</v>
      </c>
      <c r="B112" s="10">
        <f>'APÊNDICE II-MEMÓRIA DE CÁLCULO'!B113</f>
        <v>16335</v>
      </c>
      <c r="C112" s="10">
        <f>'APÊNDICE II-MEMÓRIA DE CÁLCULO'!C113</f>
        <v>425355</v>
      </c>
      <c r="D112" s="11" t="str">
        <f>'APÊNDICE II-MEMÓRIA DE CÁLCULO'!D113</f>
        <v>Fralda descartável infantil - TAMANHO G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10 a 13 kg. Referência: Pampers, Personalidade Baby, Huggies, Pompom, Mônica, Cremer ou similares.</v>
      </c>
      <c r="E112" s="10" t="str">
        <f>'APÊNDICE II-MEMÓRIA DE CÁLCULO'!E113</f>
        <v>UNIDADE</v>
      </c>
      <c r="F112" s="27">
        <f>'APÊNDICE II-MEMÓRIA DE CÁLCULO'!M113</f>
        <v>25200</v>
      </c>
      <c r="G112" s="13">
        <f>'APÊNDICE III - MAPA DE PREÇOS'!X112</f>
        <v>0.65</v>
      </c>
      <c r="H112" s="13">
        <f t="shared" si="1"/>
        <v>16380</v>
      </c>
    </row>
    <row r="113" spans="1:8" ht="214.5" x14ac:dyDescent="0.3">
      <c r="A113" s="1">
        <v>109</v>
      </c>
      <c r="B113" s="10">
        <f>'APÊNDICE II-MEMÓRIA DE CÁLCULO'!B114</f>
        <v>12352</v>
      </c>
      <c r="C113" s="10" t="str">
        <f>'APÊNDICE II-MEMÓRIA DE CÁLCULO'!C114</f>
        <v>-</v>
      </c>
      <c r="D113" s="11" t="str">
        <f>'APÊNDICE II-MEMÓRIA DE CÁLCULO'!D114</f>
        <v>Fralda descartável - tipo: infantil,  tamanho: XXG, formato: anatômico, características: apresenta tripla proteção com barreiras super impermeáveis, gel super absorvente, camada de proteção ultra seca. Sua composição contém filme de polietileno, polpa de celulose, polímero superabsorvente, tecido de polipropileno, não tecido de fibras bicomponentes e fibras polyester, aloe vera, vitamina E, adesivo termoplástico, fios de elástico, fitas adesivas. Componentes atóxicos não propensos a causar irritação em contato com a pele, produto de referência: fraldas descartáveis Huggies turma da Mônica tripla proteção mega XXG.</v>
      </c>
      <c r="E113" s="10" t="str">
        <f>'APÊNDICE II-MEMÓRIA DE CÁLCULO'!E114</f>
        <v>UNIDADE</v>
      </c>
      <c r="F113" s="27">
        <f>'APÊNDICE II-MEMÓRIA DE CÁLCULO'!M114</f>
        <v>36000</v>
      </c>
      <c r="G113" s="13">
        <f>'APÊNDICE III - MAPA DE PREÇOS'!X113</f>
        <v>1.39</v>
      </c>
      <c r="H113" s="13">
        <f t="shared" si="1"/>
        <v>50040</v>
      </c>
    </row>
    <row r="114" spans="1:8" ht="148.5" x14ac:dyDescent="0.3">
      <c r="A114" s="1">
        <v>110</v>
      </c>
      <c r="B114" s="10">
        <f>'APÊNDICE II-MEMÓRIA DE CÁLCULO'!B115</f>
        <v>12353</v>
      </c>
      <c r="C114" s="10">
        <f>'APÊNDICE II-MEMÓRIA DE CÁLCULO'!C115</f>
        <v>279887</v>
      </c>
      <c r="D114" s="11" t="str">
        <f>'APÊNDICE II-MEMÓRIA DE CÁLCULO'!D115</f>
        <v>Frasco - tipo: almotolia pinceta, capacidade: 250 ml, material: polietileno (plástico), tipo do bico: bico reto longo com protetor,  características adicionais: recipiente com tampa enroscada, sem mangueira interna, cor: marrom, flexível, contendo orifício central, graduado a cada 50 ml, resistente a desinfecções. Embalagem contendo externamente dados de identificação, procedência e registro em órgão competente.</v>
      </c>
      <c r="E114" s="10" t="str">
        <f>'APÊNDICE II-MEMÓRIA DE CÁLCULO'!E115</f>
        <v>UNIDADE</v>
      </c>
      <c r="F114" s="27">
        <f>'APÊNDICE II-MEMÓRIA DE CÁLCULO'!L115</f>
        <v>48</v>
      </c>
      <c r="G114" s="13">
        <f>'APÊNDICE III - MAPA DE PREÇOS'!X114</f>
        <v>4.76</v>
      </c>
      <c r="H114" s="13">
        <f t="shared" si="1"/>
        <v>228.48</v>
      </c>
    </row>
    <row r="115" spans="1:8" ht="148.5" x14ac:dyDescent="0.3">
      <c r="A115" s="1">
        <v>111</v>
      </c>
      <c r="B115" s="10">
        <f>'APÊNDICE II-MEMÓRIA DE CÁLCULO'!B116</f>
        <v>12354</v>
      </c>
      <c r="C115" s="10">
        <f>'APÊNDICE II-MEMÓRIA DE CÁLCULO'!C116</f>
        <v>427338</v>
      </c>
      <c r="D115" s="11" t="str">
        <f>'APÊNDICE II-MEMÓRIA DE CÁLCULO'!D116</f>
        <v>Fralda descartável - tipo: geriátrica, tamanho: P,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5" s="10" t="str">
        <f>'APÊNDICE II-MEMÓRIA DE CÁLCULO'!E116</f>
        <v>UNIDADE</v>
      </c>
      <c r="F115" s="27">
        <f>'APÊNDICE II-MEMÓRIA DE CÁLCULO'!L116</f>
        <v>16100</v>
      </c>
      <c r="G115" s="13">
        <f>'APÊNDICE III - MAPA DE PREÇOS'!X115</f>
        <v>1.55</v>
      </c>
      <c r="H115" s="13">
        <f t="shared" si="1"/>
        <v>24955</v>
      </c>
    </row>
    <row r="116" spans="1:8" ht="148.5" x14ac:dyDescent="0.3">
      <c r="A116" s="1">
        <v>112</v>
      </c>
      <c r="B116" s="10">
        <f>'APÊNDICE II-MEMÓRIA DE CÁLCULO'!B117</f>
        <v>12356</v>
      </c>
      <c r="C116" s="10">
        <f>'APÊNDICE II-MEMÓRIA DE CÁLCULO'!C117</f>
        <v>358131</v>
      </c>
      <c r="D116" s="11" t="str">
        <f>'APÊNDICE II-MEMÓRIA DE CÁLCULO'!D117</f>
        <v>Fralda descartável - tipo: geriátrica, tamanho: M ,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6" s="10" t="str">
        <f>'APÊNDICE II-MEMÓRIA DE CÁLCULO'!E117</f>
        <v>UNIDADE</v>
      </c>
      <c r="F116" s="27">
        <f>'APÊNDICE II-MEMÓRIA DE CÁLCULO'!L117</f>
        <v>43100</v>
      </c>
      <c r="G116" s="13">
        <f>'APÊNDICE III - MAPA DE PREÇOS'!X116</f>
        <v>1.31</v>
      </c>
      <c r="H116" s="13">
        <f t="shared" si="1"/>
        <v>56461</v>
      </c>
    </row>
    <row r="117" spans="1:8" ht="148.5" x14ac:dyDescent="0.3">
      <c r="A117" s="1">
        <v>113</v>
      </c>
      <c r="B117" s="10">
        <f>'APÊNDICE II-MEMÓRIA DE CÁLCULO'!B118</f>
        <v>12357</v>
      </c>
      <c r="C117" s="10">
        <f>'APÊNDICE II-MEMÓRIA DE CÁLCULO'!C118</f>
        <v>358132</v>
      </c>
      <c r="D117" s="11" t="str">
        <f>'APÊNDICE II-MEMÓRIA DE CÁLCULO'!D118</f>
        <v>Fralda descartável - tipo: geriátrica, tamanho: 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7" s="10" t="str">
        <f>'APÊNDICE II-MEMÓRIA DE CÁLCULO'!E118</f>
        <v>UNIDADE</v>
      </c>
      <c r="F117" s="27">
        <f>'APÊNDICE II-MEMÓRIA DE CÁLCULO'!L118</f>
        <v>130538</v>
      </c>
      <c r="G117" s="13">
        <f>'APÊNDICE III - MAPA DE PREÇOS'!X117</f>
        <v>1.32</v>
      </c>
      <c r="H117" s="13">
        <f t="shared" si="1"/>
        <v>172310.16</v>
      </c>
    </row>
    <row r="118" spans="1:8" ht="148.5" x14ac:dyDescent="0.3">
      <c r="A118" s="1">
        <v>114</v>
      </c>
      <c r="B118" s="10">
        <f>'APÊNDICE II-MEMÓRIA DE CÁLCULO'!B119</f>
        <v>12358</v>
      </c>
      <c r="C118" s="10">
        <f>'APÊNDICE II-MEMÓRIA DE CÁLCULO'!C119</f>
        <v>380597</v>
      </c>
      <c r="D118" s="11" t="str">
        <f>'APÊNDICE II-MEMÓRIA DE CÁLCULO'!D119</f>
        <v>Fralda descartável - tipo: geriátrica, tamanho: XG,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8" s="10" t="str">
        <f>'APÊNDICE II-MEMÓRIA DE CÁLCULO'!E119</f>
        <v>UNIDADE</v>
      </c>
      <c r="F118" s="27">
        <f>'APÊNDICE II-MEMÓRIA DE CÁLCULO'!L119</f>
        <v>129648</v>
      </c>
      <c r="G118" s="13">
        <f>'APÊNDICE III - MAPA DE PREÇOS'!X118</f>
        <v>2</v>
      </c>
      <c r="H118" s="13">
        <f t="shared" si="1"/>
        <v>259296</v>
      </c>
    </row>
    <row r="119" spans="1:8" ht="198" x14ac:dyDescent="0.3">
      <c r="A119" s="1">
        <v>115</v>
      </c>
      <c r="B119" s="10">
        <f>'APÊNDICE II-MEMÓRIA DE CÁLCULO'!B120</f>
        <v>12359</v>
      </c>
      <c r="C119" s="10">
        <f>'APÊNDICE II-MEMÓRIA DE CÁLCULO'!C120</f>
        <v>437863</v>
      </c>
      <c r="D119" s="11" t="str">
        <f>'APÊNDICE II-MEMÓRIA DE CÁLCULO'!D120</f>
        <v>Fita hospitalar - tipo: esparadrapo impermeável, material: dorso de tecido 100% algodão, dimensões: 10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v>
      </c>
      <c r="E119" s="10" t="str">
        <f>'APÊNDICE II-MEMÓRIA DE CÁLCULO'!E120</f>
        <v>UNIDADE</v>
      </c>
      <c r="F119" s="27">
        <f>'APÊNDICE II-MEMÓRIA DE CÁLCULO'!L120</f>
        <v>2436</v>
      </c>
      <c r="G119" s="13">
        <f>'APÊNDICE III - MAPA DE PREÇOS'!X119</f>
        <v>8.0399999999999991</v>
      </c>
      <c r="H119" s="13">
        <f t="shared" si="1"/>
        <v>19585.439999999999</v>
      </c>
    </row>
    <row r="120" spans="1:8" ht="198" x14ac:dyDescent="0.3">
      <c r="A120" s="1">
        <v>116</v>
      </c>
      <c r="B120" s="10">
        <f>'APÊNDICE II-MEMÓRIA DE CÁLCULO'!B121</f>
        <v>12360</v>
      </c>
      <c r="C120" s="10">
        <f>'APÊNDICE II-MEMÓRIA DE CÁLCULO'!C121</f>
        <v>437862</v>
      </c>
      <c r="D120" s="11" t="str">
        <f>'APÊNDICE II-MEMÓRIA DE CÁLCULO'!D121</f>
        <v>Fita hospitalar - tipo: esparadrapo impermeável, material: dorso de tecido 100% algodão, dimensões: 5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v>
      </c>
      <c r="E120" s="10" t="str">
        <f>'APÊNDICE II-MEMÓRIA DE CÁLCULO'!E121</f>
        <v>UNIDADE</v>
      </c>
      <c r="F120" s="27">
        <f>'APÊNDICE II-MEMÓRIA DE CÁLCULO'!L121</f>
        <v>376</v>
      </c>
      <c r="G120" s="13">
        <f>'APÊNDICE III - MAPA DE PREÇOS'!X120</f>
        <v>5.77</v>
      </c>
      <c r="H120" s="13">
        <f t="shared" si="1"/>
        <v>2169.52</v>
      </c>
    </row>
    <row r="121" spans="1:8" ht="181.5" x14ac:dyDescent="0.3">
      <c r="A121" s="1">
        <v>117</v>
      </c>
      <c r="B121" s="10">
        <f>'APÊNDICE II-MEMÓRIA DE CÁLCULO'!B122</f>
        <v>12361</v>
      </c>
      <c r="C121" s="10" t="str">
        <f>'APÊNDICE II-MEMÓRIA DE CÁLCULO'!C122</f>
        <v>-</v>
      </c>
      <c r="D121" s="11" t="str">
        <f>'APÊNDICE II-MEMÓRIA DE CÁLCULO'!D122</f>
        <v xml:space="preserve">Fita hospitalar - tipo: esparadrapo microporoso, dimensão: 10 cm x 4,5 m, material: confeccionado em tecido não tecido de fio de algodão ou viscose, características adicionais: antialérgico, massa adesiva com boa aderência, isento de substância alérgenas, enrolado em carretel. Embalagem individual contendo externamente dados de identificação e procedência, lote, prazo de validade e registro em órgão competente.
</v>
      </c>
      <c r="E121" s="10" t="str">
        <f>'APÊNDICE II-MEMÓRIA DE CÁLCULO'!E122</f>
        <v>UNIDADE</v>
      </c>
      <c r="F121" s="27">
        <f>'APÊNDICE II-MEMÓRIA DE CÁLCULO'!L122</f>
        <v>1564</v>
      </c>
      <c r="G121" s="13">
        <f>'APÊNDICE III - MAPA DE PREÇOS'!X121</f>
        <v>8.19</v>
      </c>
      <c r="H121" s="13">
        <f t="shared" si="1"/>
        <v>12809.16</v>
      </c>
    </row>
    <row r="122" spans="1:8" ht="148.5" x14ac:dyDescent="0.3">
      <c r="A122" s="1">
        <v>118</v>
      </c>
      <c r="B122" s="10">
        <f>'APÊNDICE II-MEMÓRIA DE CÁLCULO'!B123</f>
        <v>12362</v>
      </c>
      <c r="C122" s="10">
        <f>'APÊNDICE II-MEMÓRIA DE CÁLCULO'!C123</f>
        <v>452987</v>
      </c>
      <c r="D122" s="11" t="str">
        <f>'APÊNDICE II-MEMÓRIA DE CÁLCULO'!D123</f>
        <v>Fio guia (Mandril) - tamanho: infantil, dimensões aproximadas: diâmetro de 2,0mm e comprimento de 300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v>
      </c>
      <c r="E122" s="10" t="str">
        <f>'APÊNDICE II-MEMÓRIA DE CÁLCULO'!E123</f>
        <v>UNIDADE</v>
      </c>
      <c r="F122" s="27">
        <f>'APÊNDICE II-MEMÓRIA DE CÁLCULO'!L123</f>
        <v>5</v>
      </c>
      <c r="G122" s="13">
        <f>'APÊNDICE III - MAPA DE PREÇOS'!X122</f>
        <v>61.33</v>
      </c>
      <c r="H122" s="13">
        <f t="shared" si="1"/>
        <v>306.64999999999998</v>
      </c>
    </row>
    <row r="123" spans="1:8" ht="148.5" x14ac:dyDescent="0.3">
      <c r="A123" s="1">
        <v>119</v>
      </c>
      <c r="B123" s="10">
        <f>'APÊNDICE II-MEMÓRIA DE CÁLCULO'!B124</f>
        <v>12363</v>
      </c>
      <c r="C123" s="10">
        <f>'APÊNDICE II-MEMÓRIA DE CÁLCULO'!C124</f>
        <v>452986</v>
      </c>
      <c r="D123" s="11" t="str">
        <f>'APÊNDICE II-MEMÓRIA DE CÁLCULO'!D124</f>
        <v>Fio guia (Mandril) - tamanho: adulto, dimensões aproximadas: diâmetro de 3,2mm e comprimento de 420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v>
      </c>
      <c r="E123" s="10" t="str">
        <f>'APÊNDICE II-MEMÓRIA DE CÁLCULO'!E124</f>
        <v>UNIDADE</v>
      </c>
      <c r="F123" s="27">
        <f>'APÊNDICE II-MEMÓRIA DE CÁLCULO'!L124</f>
        <v>5</v>
      </c>
      <c r="G123" s="13">
        <f>'APÊNDICE III - MAPA DE PREÇOS'!X123</f>
        <v>64.75</v>
      </c>
      <c r="H123" s="13">
        <f t="shared" si="1"/>
        <v>323.75</v>
      </c>
    </row>
    <row r="124" spans="1:8" ht="214.5" x14ac:dyDescent="0.3">
      <c r="A124" s="1">
        <v>120</v>
      </c>
      <c r="B124" s="10">
        <f>'APÊNDICE II-MEMÓRIA DE CÁLCULO'!B125</f>
        <v>12365</v>
      </c>
      <c r="C124" s="10" t="str">
        <f>'APÊNDICE II-MEMÓRIA DE CÁLCULO'!C125</f>
        <v>-</v>
      </c>
      <c r="D124" s="11" t="str">
        <f>'APÊNDICE II-MEMÓRIA DE CÁLCULO'!D125</f>
        <v>Fixador citológico - apresentação: spray, concentração: 100 ML, composição: solução de propilenoglicol e álcool absoluto, características adicionais: possui propriedades de fixação e sustentação da integridade celular de esfregaços de material biológico estendidos em lâmina de vidro, estes esfregaços quando fixados pelo fixador citológico vagispec e submetidos à coloração de papanicolaou apresentam excelente características tintoriais com ausência de pseudo-acidofilias. Embalagem contendo dados de identificação e procedência, lote, data e tipo de esterilização, prazo de validade e registro em órgão competente.</v>
      </c>
      <c r="E124" s="10" t="str">
        <f>'APÊNDICE II-MEMÓRIA DE CÁLCULO'!E125</f>
        <v>UNIDADE</v>
      </c>
      <c r="F124" s="27">
        <f>'APÊNDICE II-MEMÓRIA DE CÁLCULO'!L125</f>
        <v>100</v>
      </c>
      <c r="G124" s="13">
        <f>'APÊNDICE III - MAPA DE PREÇOS'!X124</f>
        <v>8.15</v>
      </c>
      <c r="H124" s="13">
        <f t="shared" si="1"/>
        <v>815</v>
      </c>
    </row>
    <row r="125" spans="1:8" ht="115.5" x14ac:dyDescent="0.3">
      <c r="A125" s="1">
        <v>121</v>
      </c>
      <c r="B125" s="10">
        <f>'APÊNDICE II-MEMÓRIA DE CÁLCULO'!B126</f>
        <v>12371</v>
      </c>
      <c r="C125" s="10">
        <f>'APÊNDICE II-MEMÓRIA DE CÁLCULO'!C126</f>
        <v>415183</v>
      </c>
      <c r="D125" s="11" t="str">
        <f>'APÊNDICE II-MEMÓRIA DE CÁLCULO'!D126</f>
        <v xml:space="preserve">Filme para raio x digital, DI-HT dimensões: 25 x 30 cm, apresentação: caixa com 100 películas, características adicionais: processamento a seco, embalagem contendo externamente dados de identificação e procedência, lote, data de fabricação, prazo de validade e registro em órgão competente. Referência: Fujifilm. </v>
      </c>
      <c r="E125" s="10" t="str">
        <f>'APÊNDICE II-MEMÓRIA DE CÁLCULO'!E126</f>
        <v>CAIXA</v>
      </c>
      <c r="F125" s="27">
        <f>'APÊNDICE II-MEMÓRIA DE CÁLCULO'!L126</f>
        <v>60</v>
      </c>
      <c r="G125" s="13">
        <f>'APÊNDICE III - MAPA DE PREÇOS'!X125</f>
        <v>323.60000000000002</v>
      </c>
      <c r="H125" s="13">
        <f t="shared" si="1"/>
        <v>19416</v>
      </c>
    </row>
    <row r="126" spans="1:8" ht="115.5" x14ac:dyDescent="0.3">
      <c r="A126" s="1">
        <v>122</v>
      </c>
      <c r="B126" s="10">
        <f>'APÊNDICE II-MEMÓRIA DE CÁLCULO'!B127</f>
        <v>16336</v>
      </c>
      <c r="C126" s="10" t="str">
        <f>'APÊNDICE II-MEMÓRIA DE CÁLCULO'!C127</f>
        <v>-</v>
      </c>
      <c r="D126" s="11" t="str">
        <f>'APÊNDICE II-MEMÓRIA DE CÁLCULO'!D127</f>
        <v xml:space="preserve">Filme radiológico - tipo: raio x digital, DI-HT, dimensões: 35x43 cm, aplicação: processamento a seco, características adicionais: caixa com 100 películas, embalagem contendo externamente dados de identificação e procedência, lote, data de fabricação, prazo de validade e registro em órgão competente. Referência: Fujifilm. </v>
      </c>
      <c r="E126" s="10" t="str">
        <f>'APÊNDICE II-MEMÓRIA DE CÁLCULO'!E127</f>
        <v>CAIXA</v>
      </c>
      <c r="F126" s="27">
        <f>'APÊNDICE II-MEMÓRIA DE CÁLCULO'!L127</f>
        <v>50</v>
      </c>
      <c r="G126" s="13">
        <f>'APÊNDICE III - MAPA DE PREÇOS'!X126</f>
        <v>774.62</v>
      </c>
      <c r="H126" s="13">
        <f t="shared" si="1"/>
        <v>38731</v>
      </c>
    </row>
    <row r="127" spans="1:8" ht="115.5" x14ac:dyDescent="0.3">
      <c r="A127" s="1">
        <v>123</v>
      </c>
      <c r="B127" s="10">
        <f>'APÊNDICE II-MEMÓRIA DE CÁLCULO'!B128</f>
        <v>16337</v>
      </c>
      <c r="C127" s="10">
        <f>'APÊNDICE II-MEMÓRIA DE CÁLCULO'!C128</f>
        <v>415181</v>
      </c>
      <c r="D127" s="11" t="str">
        <f>'APÊNDICE II-MEMÓRIA DE CÁLCULO'!D128</f>
        <v>Filme radiológico - tipo: mamografia, dimensões: 25 X 30 cm, aplicação: processamento a seco, características adicionais: caixa com 100 películas,  embalagem contendo externamente dados de identificação e procedência, lote, data de fabricação, prazo de validade e registro em órgão competente. Referência: AGFA.</v>
      </c>
      <c r="E127" s="10" t="str">
        <f>'APÊNDICE II-MEMÓRIA DE CÁLCULO'!E128</f>
        <v>CAIXA</v>
      </c>
      <c r="F127" s="27">
        <f>'APÊNDICE II-MEMÓRIA DE CÁLCULO'!L128</f>
        <v>52</v>
      </c>
      <c r="G127" s="13">
        <f>'APÊNDICE III - MAPA DE PREÇOS'!X127</f>
        <v>558.96</v>
      </c>
      <c r="H127" s="13">
        <f t="shared" si="1"/>
        <v>29065.920000000002</v>
      </c>
    </row>
    <row r="128" spans="1:8" ht="148.5" x14ac:dyDescent="0.3">
      <c r="A128" s="1">
        <v>124</v>
      </c>
      <c r="B128" s="10">
        <f>'APÊNDICE II-MEMÓRIA DE CÁLCULO'!B129</f>
        <v>12388</v>
      </c>
      <c r="C128" s="10">
        <f>'APÊNDICE II-MEMÓRIA DE CÁLCULO'!C129</f>
        <v>350646</v>
      </c>
      <c r="D128" s="11" t="str">
        <f>'APÊNDICE II-MEMÓRIA DE CÁLCULO'!D129</f>
        <v xml:space="preserve">Fita adesiva - aplicação: hospitalar, dimensões: 19 mm x 50 m, material: papel crepado cor: branca, características adicionais: com dorso de papel crepado recoberto com adesivo na face interna, resistente à esterilização pelo calor úmido. Embalagem contendo dados de identificação, procedência, prazo de validade e registro em órgão competente.
</v>
      </c>
      <c r="E128" s="10" t="str">
        <f>'APÊNDICE II-MEMÓRIA DE CÁLCULO'!E129</f>
        <v>UNIDADE</v>
      </c>
      <c r="F128" s="27">
        <f>'APÊNDICE II-MEMÓRIA DE CÁLCULO'!L129</f>
        <v>50</v>
      </c>
      <c r="G128" s="13">
        <f>'APÊNDICE III - MAPA DE PREÇOS'!X128</f>
        <v>4.97</v>
      </c>
      <c r="H128" s="13">
        <f t="shared" ref="H128:H190" si="2">F128*G128</f>
        <v>248.5</v>
      </c>
    </row>
    <row r="129" spans="1:8" ht="132" x14ac:dyDescent="0.3">
      <c r="A129" s="1">
        <v>125</v>
      </c>
      <c r="B129" s="10">
        <f>'APÊNDICE II-MEMÓRIA DE CÁLCULO'!B130</f>
        <v>12390</v>
      </c>
      <c r="C129" s="10">
        <f>'APÊNDICE II-MEMÓRIA DE CÁLCULO'!C130</f>
        <v>340859</v>
      </c>
      <c r="D129" s="11" t="str">
        <f>'APÊNDICE II-MEMÓRIA DE CÁLCULO'!D130</f>
        <v>Fita adesiva - aplicação: autoclave, dimensões: 19mm x 30m, material: papel crepado, características adicionais: adesivada com dorso de papel crepado, saturado e envernizado, adesivo a base de borracha natural e resinas, tinta termo-reativa e multiparamétrica e butadien. Embalagem contendo dados de identificação, procedência, prazo de validade e registro em órgão competente.</v>
      </c>
      <c r="E129" s="10" t="str">
        <f>'APÊNDICE II-MEMÓRIA DE CÁLCULO'!E130</f>
        <v>UNIDADE</v>
      </c>
      <c r="F129" s="27">
        <f>'APÊNDICE II-MEMÓRIA DE CÁLCULO'!L130</f>
        <v>120</v>
      </c>
      <c r="G129" s="13">
        <f>'APÊNDICE III - MAPA DE PREÇOS'!X129</f>
        <v>6.56</v>
      </c>
      <c r="H129" s="13">
        <f t="shared" si="2"/>
        <v>787.19999999999993</v>
      </c>
    </row>
    <row r="130" spans="1:8" ht="198" x14ac:dyDescent="0.3">
      <c r="A130" s="1">
        <v>126</v>
      </c>
      <c r="B130" s="10">
        <f>'APÊNDICE II-MEMÓRIA DE CÁLCULO'!B131</f>
        <v>12394</v>
      </c>
      <c r="C130" s="10">
        <f>'APÊNDICE II-MEMÓRIA DE CÁLCULO'!C131</f>
        <v>350986</v>
      </c>
      <c r="D130" s="11" t="str">
        <f>'APÊNDICE II-MEMÓRIA DE CÁLCULO'!D131</f>
        <v xml:space="preserve">Fio de sutura - tipo: Catgut cromado com agulha, tipo fio: 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0" s="10" t="str">
        <f>'APÊNDICE II-MEMÓRIA DE CÁLCULO'!E131</f>
        <v>CAIXA</v>
      </c>
      <c r="F130" s="27">
        <f>'APÊNDICE II-MEMÓRIA DE CÁLCULO'!L131</f>
        <v>50</v>
      </c>
      <c r="G130" s="13">
        <f>'APÊNDICE III - MAPA DE PREÇOS'!X130</f>
        <v>114.16</v>
      </c>
      <c r="H130" s="13">
        <f t="shared" si="2"/>
        <v>5708</v>
      </c>
    </row>
    <row r="131" spans="1:8" ht="181.5" x14ac:dyDescent="0.3">
      <c r="A131" s="1">
        <v>127</v>
      </c>
      <c r="B131" s="10">
        <f>'APÊNDICE II-MEMÓRIA DE CÁLCULO'!B132</f>
        <v>12395</v>
      </c>
      <c r="C131" s="10" t="str">
        <f>'APÊNDICE II-MEMÓRIA DE CÁLCULO'!C132</f>
        <v>-</v>
      </c>
      <c r="D131" s="11" t="str">
        <f>'APÊNDICE II-MEMÓRIA DE CÁLCULO'!D132</f>
        <v xml:space="preserve">Fio de sutura - tipo: Catgut cromado com agulha, tipo fio: 1,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1" s="10" t="str">
        <f>'APÊNDICE II-MEMÓRIA DE CÁLCULO'!E132</f>
        <v>CAIXA</v>
      </c>
      <c r="F131" s="27">
        <f>'APÊNDICE II-MEMÓRIA DE CÁLCULO'!L132</f>
        <v>50</v>
      </c>
      <c r="G131" s="13">
        <f>'APÊNDICE III - MAPA DE PREÇOS'!X131</f>
        <v>111.43</v>
      </c>
      <c r="H131" s="13">
        <f t="shared" si="2"/>
        <v>5571.5</v>
      </c>
    </row>
    <row r="132" spans="1:8" ht="165" x14ac:dyDescent="0.3">
      <c r="A132" s="1">
        <v>128</v>
      </c>
      <c r="B132" s="10">
        <f>'APÊNDICE II-MEMÓRIA DE CÁLCULO'!B133</f>
        <v>12396</v>
      </c>
      <c r="C132" s="10">
        <f>'APÊNDICE II-MEMÓRIA DE CÁLCULO'!C133</f>
        <v>281105</v>
      </c>
      <c r="D132" s="11" t="str">
        <f>'APÊNDICE II-MEMÓRIA DE CÁLCULO'!D133</f>
        <v xml:space="preserve">Fio de sutura - tipo: Catgut cromado com agulha, tipo fio: 2-0,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2" s="10" t="str">
        <f>'APÊNDICE II-MEMÓRIA DE CÁLCULO'!E133</f>
        <v>CAIXA</v>
      </c>
      <c r="F132" s="27">
        <f>'APÊNDICE II-MEMÓRIA DE CÁLCULO'!L133</f>
        <v>50</v>
      </c>
      <c r="G132" s="13">
        <f>'APÊNDICE III - MAPA DE PREÇOS'!X132</f>
        <v>101.85</v>
      </c>
      <c r="H132" s="13">
        <f t="shared" si="2"/>
        <v>5092.5</v>
      </c>
    </row>
    <row r="133" spans="1:8" ht="165" x14ac:dyDescent="0.3">
      <c r="A133" s="1">
        <v>129</v>
      </c>
      <c r="B133" s="10">
        <f>'APÊNDICE II-MEMÓRIA DE CÁLCULO'!B134</f>
        <v>12397</v>
      </c>
      <c r="C133" s="10">
        <f>'APÊNDICE II-MEMÓRIA DE CÁLCULO'!C134</f>
        <v>281043</v>
      </c>
      <c r="D133" s="11" t="str">
        <f>'APÊNDICE II-MEMÓRIA DE CÁLCULO'!D134</f>
        <v xml:space="preserve">Fio de sutura - tipo: Catgut simples com agulha, tipo fio: 2-0, comprimento agulha: 3,0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3" s="10" t="str">
        <f>'APÊNDICE II-MEMÓRIA DE CÁLCULO'!E134</f>
        <v>CAIXA</v>
      </c>
      <c r="F133" s="27">
        <f>'APÊNDICE II-MEMÓRIA DE CÁLCULO'!L134</f>
        <v>50</v>
      </c>
      <c r="G133" s="13">
        <f>'APÊNDICE III - MAPA DE PREÇOS'!X133</f>
        <v>128.03</v>
      </c>
      <c r="H133" s="13">
        <f t="shared" si="2"/>
        <v>6401.5</v>
      </c>
    </row>
    <row r="134" spans="1:8" ht="181.5" x14ac:dyDescent="0.3">
      <c r="A134" s="1">
        <v>130</v>
      </c>
      <c r="B134" s="10">
        <f>'APÊNDICE II-MEMÓRIA DE CÁLCULO'!B135</f>
        <v>12398</v>
      </c>
      <c r="C134" s="10">
        <f>'APÊNDICE II-MEMÓRIA DE CÁLCULO'!C135</f>
        <v>281057</v>
      </c>
      <c r="D134" s="11" t="str">
        <f>'APÊNDICE II-MEMÓRIA DE CÁLCULO'!D135</f>
        <v xml:space="preserve">Fio de sutura - tipo: Catgut simples com agulha, tipo fio: 3-0,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4" s="10" t="str">
        <f>'APÊNDICE II-MEMÓRIA DE CÁLCULO'!E135</f>
        <v>CAIXA</v>
      </c>
      <c r="F134" s="27">
        <f>'APÊNDICE II-MEMÓRIA DE CÁLCULO'!L135</f>
        <v>50</v>
      </c>
      <c r="G134" s="13">
        <f>'APÊNDICE III - MAPA DE PREÇOS'!X134</f>
        <v>121.64</v>
      </c>
      <c r="H134" s="13">
        <f t="shared" si="2"/>
        <v>6082</v>
      </c>
    </row>
    <row r="135" spans="1:8" ht="198" x14ac:dyDescent="0.3">
      <c r="A135" s="1">
        <v>131</v>
      </c>
      <c r="B135" s="10">
        <f>'APÊNDICE II-MEMÓRIA DE CÁLCULO'!B136</f>
        <v>12399</v>
      </c>
      <c r="C135" s="10">
        <f>'APÊNDICE II-MEMÓRIA DE CÁLCULO'!C136</f>
        <v>351240</v>
      </c>
      <c r="D135" s="11" t="str">
        <f>'APÊNDICE II-MEMÓRIA DE CÁLCULO'!D136</f>
        <v xml:space="preserve">Fio de sutura com agulha - material: Nylon monofilamento, tipo fio: 2-0, tipo agulha: 3/8 círculo cortante, comprimento da agulha: 3,0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5" s="10" t="str">
        <f>'APÊNDICE II-MEMÓRIA DE CÁLCULO'!E136</f>
        <v>CAIXA</v>
      </c>
      <c r="F135" s="27">
        <f>'APÊNDICE II-MEMÓRIA DE CÁLCULO'!L136</f>
        <v>190</v>
      </c>
      <c r="G135" s="13">
        <f>'APÊNDICE III - MAPA DE PREÇOS'!X135</f>
        <v>33.47</v>
      </c>
      <c r="H135" s="13">
        <f t="shared" si="2"/>
        <v>6359.3</v>
      </c>
    </row>
    <row r="136" spans="1:8" ht="181.5" x14ac:dyDescent="0.3">
      <c r="A136" s="1">
        <v>132</v>
      </c>
      <c r="B136" s="10">
        <f>'APÊNDICE II-MEMÓRIA DE CÁLCULO'!B137</f>
        <v>12400</v>
      </c>
      <c r="C136" s="10">
        <f>'APÊNDICE II-MEMÓRIA DE CÁLCULO'!C137</f>
        <v>281319</v>
      </c>
      <c r="D136" s="11" t="str">
        <f>'APÊNDICE II-MEMÓRIA DE CÁLCULO'!D137</f>
        <v xml:space="preserve">Fio de sutura com agulha - material: Nylon monofilamento, tipo fio: 3-0, tipo agulha: 3/8 círculo cortante, comprimento da agulha: mínimo de 2,0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6" s="10" t="str">
        <f>'APÊNDICE II-MEMÓRIA DE CÁLCULO'!E137</f>
        <v>CAIXA</v>
      </c>
      <c r="F136" s="27">
        <f>'APÊNDICE II-MEMÓRIA DE CÁLCULO'!L137</f>
        <v>200</v>
      </c>
      <c r="G136" s="13">
        <f>'APÊNDICE III - MAPA DE PREÇOS'!X136</f>
        <v>39.35</v>
      </c>
      <c r="H136" s="13">
        <f t="shared" si="2"/>
        <v>7870</v>
      </c>
    </row>
    <row r="137" spans="1:8" ht="181.5" x14ac:dyDescent="0.3">
      <c r="A137" s="1">
        <v>133</v>
      </c>
      <c r="B137" s="10">
        <f>'APÊNDICE II-MEMÓRIA DE CÁLCULO'!B138</f>
        <v>12401</v>
      </c>
      <c r="C137" s="10">
        <f>'APÊNDICE II-MEMÓRIA DE CÁLCULO'!C138</f>
        <v>281325</v>
      </c>
      <c r="D137" s="11" t="str">
        <f>'APÊNDICE II-MEMÓRIA DE CÁLCULO'!D138</f>
        <v xml:space="preserve">Fio de sutura com agulha - material: Nylon monofilamento, tipo fio: 4-0, tipo agulha: 3/8 círculo cortante, comprimento da agulha: 2,5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7" s="10" t="str">
        <f>'APÊNDICE II-MEMÓRIA DE CÁLCULO'!E138</f>
        <v>CAIXA</v>
      </c>
      <c r="F137" s="27">
        <f>'APÊNDICE II-MEMÓRIA DE CÁLCULO'!L138</f>
        <v>50</v>
      </c>
      <c r="G137" s="13">
        <f>'APÊNDICE III - MAPA DE PREÇOS'!X137</f>
        <v>44.21</v>
      </c>
      <c r="H137" s="13">
        <f t="shared" si="2"/>
        <v>2210.5</v>
      </c>
    </row>
    <row r="138" spans="1:8" ht="181.5" x14ac:dyDescent="0.3">
      <c r="A138" s="1">
        <v>134</v>
      </c>
      <c r="B138" s="10">
        <f>'APÊNDICE II-MEMÓRIA DE CÁLCULO'!B139</f>
        <v>12402</v>
      </c>
      <c r="C138" s="10">
        <f>'APÊNDICE II-MEMÓRIA DE CÁLCULO'!C139</f>
        <v>281320</v>
      </c>
      <c r="D138" s="11" t="str">
        <f>'APÊNDICE II-MEMÓRIA DE CÁLCULO'!D139</f>
        <v xml:space="preserve">Fio de sutura com agulha - material: Nylon monofilamento, tipo fio: 5-0, tipo agulha: 3/8 círculo cortante, comprimento da agulha: 2,0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8" s="10" t="str">
        <f>'APÊNDICE II-MEMÓRIA DE CÁLCULO'!E139</f>
        <v>CAIXA</v>
      </c>
      <c r="F138" s="27">
        <f>'APÊNDICE II-MEMÓRIA DE CÁLCULO'!L139</f>
        <v>50</v>
      </c>
      <c r="G138" s="13">
        <f>'APÊNDICE III - MAPA DE PREÇOS'!X138</f>
        <v>36.450000000000003</v>
      </c>
      <c r="H138" s="13">
        <f t="shared" si="2"/>
        <v>1822.5000000000002</v>
      </c>
    </row>
    <row r="139" spans="1:8" ht="115.5" x14ac:dyDescent="0.3">
      <c r="A139" s="1">
        <v>135</v>
      </c>
      <c r="B139" s="10">
        <f>'APÊNDICE II-MEMÓRIA DE CÁLCULO'!B140</f>
        <v>16338</v>
      </c>
      <c r="C139" s="10" t="str">
        <f>'APÊNDICE II-MEMÓRIA DE CÁLCULO'!C140</f>
        <v>-</v>
      </c>
      <c r="D139" s="11" t="str">
        <f>'APÊNDICE II-MEMÓRIA DE CÁLCULO'!D140</f>
        <v xml:space="preserve">Fio de sutura com agulha - material: poliglactina 910, tipo fio: 1-0, tipo agulha: 1/2 círculo triangular (CT), comprimento da agulha: 1,5 cm, comprimento do fio: 70 cm, características adicionais: estéril, absorvível, embalagem com dados de identificação e procedência, nº de lote, data de fabricação e validade, e registro no Ministério da Saúde. </v>
      </c>
      <c r="E139" s="10" t="str">
        <f>'APÊNDICE II-MEMÓRIA DE CÁLCULO'!E140</f>
        <v>UNIDADE</v>
      </c>
      <c r="F139" s="27">
        <f>'APÊNDICE II-MEMÓRIA DE CÁLCULO'!L140</f>
        <v>100</v>
      </c>
      <c r="G139" s="13">
        <f>'APÊNDICE III - MAPA DE PREÇOS'!X139</f>
        <v>7.95</v>
      </c>
      <c r="H139" s="13">
        <f t="shared" si="2"/>
        <v>795</v>
      </c>
    </row>
    <row r="140" spans="1:8" ht="115.5" x14ac:dyDescent="0.3">
      <c r="A140" s="1">
        <v>136</v>
      </c>
      <c r="B140" s="10">
        <f>'APÊNDICE II-MEMÓRIA DE CÁLCULO'!B141</f>
        <v>12404</v>
      </c>
      <c r="C140" s="10">
        <f>'APÊNDICE II-MEMÓRIA DE CÁLCULO'!C141</f>
        <v>436313</v>
      </c>
      <c r="D140" s="11" t="str">
        <f>'APÊNDICE II-MEMÓRIA DE CÁLCULO'!D141</f>
        <v>Frasco coletor, tipo: universal, material: plástico transparente, capacidade: 100 ML, graduação: graduado, tipo tampa: rosqueável, uso: para exames laboratoriais de fezes, urina, escarro e esperma, características adicionais: embalagem plástica individual, constando os dados de identificação, procedência e rastreabilidade.</v>
      </c>
      <c r="E140" s="10" t="str">
        <f>'APÊNDICE II-MEMÓRIA DE CÁLCULO'!E141</f>
        <v>UNIDADE</v>
      </c>
      <c r="F140" s="27">
        <f>'APÊNDICE II-MEMÓRIA DE CÁLCULO'!L141</f>
        <v>5000</v>
      </c>
      <c r="G140" s="13">
        <f>'APÊNDICE III - MAPA DE PREÇOS'!X140</f>
        <v>0.8</v>
      </c>
      <c r="H140" s="13">
        <f t="shared" si="2"/>
        <v>4000</v>
      </c>
    </row>
    <row r="141" spans="1:8" ht="132" x14ac:dyDescent="0.3">
      <c r="A141" s="1">
        <v>137</v>
      </c>
      <c r="B141" s="10">
        <f>'APÊNDICE II-MEMÓRIA DE CÁLCULO'!B142</f>
        <v>12405</v>
      </c>
      <c r="C141" s="10" t="str">
        <f>'APÊNDICE II-MEMÓRIA DE CÁLCULO'!C142</f>
        <v>-</v>
      </c>
      <c r="D141" s="11" t="str">
        <f>'APÊNDICE II-MEMÓRIA DE CÁLCULO'!D142</f>
        <v>Filtro bacterial viral HMEF- KS - Indicado para a proteção do paciente, evitando complicações relacionadas à falta de calor e umidade no ar inspirado e impedindo microorganismos alcançarem o trato respiratório do paciente. Possui mecanismo para troca de calor e umidade combinado com filtro bacterial e viral para uso em anestesia, terapia intensiva, medicina respiratória e ventilação mecânica.</v>
      </c>
      <c r="E141" s="10" t="str">
        <f>'APÊNDICE II-MEMÓRIA DE CÁLCULO'!E142</f>
        <v>UNIDADE</v>
      </c>
      <c r="F141" s="27">
        <f>'APÊNDICE II-MEMÓRIA DE CÁLCULO'!L142</f>
        <v>280</v>
      </c>
      <c r="G141" s="13">
        <f>'APÊNDICE III - MAPA DE PREÇOS'!X141</f>
        <v>6.09</v>
      </c>
      <c r="H141" s="13">
        <f t="shared" si="2"/>
        <v>1705.2</v>
      </c>
    </row>
    <row r="142" spans="1:8" ht="132" x14ac:dyDescent="0.3">
      <c r="A142" s="1">
        <v>138</v>
      </c>
      <c r="B142" s="10">
        <f>'APÊNDICE II-MEMÓRIA DE CÁLCULO'!B143</f>
        <v>12406</v>
      </c>
      <c r="C142" s="10">
        <f>'APÊNDICE II-MEMÓRIA DE CÁLCULO'!C143</f>
        <v>452982</v>
      </c>
      <c r="D142" s="11" t="str">
        <f>'APÊNDICE II-MEMÓRIA DE CÁLCULO'!D143</f>
        <v>Fio guia para intubação - modelo: tipo bougie, tamanho: 6 FR neonatal, medidas: haste de aproximadamente 47 cm, características: auxiliar na introdução da sonda em procedimentos de intubação para pacientes que necessitem com urgência de ventilação pulmonar, semirrígido, sem lúmen, haste com escala graduada para referência de posicionamento extremidade distal e proximal retas.</v>
      </c>
      <c r="E142" s="10" t="str">
        <f>'APÊNDICE II-MEMÓRIA DE CÁLCULO'!E143</f>
        <v>UNIDADE</v>
      </c>
      <c r="F142" s="27">
        <f>'APÊNDICE II-MEMÓRIA DE CÁLCULO'!L143</f>
        <v>3</v>
      </c>
      <c r="G142" s="13">
        <f>'APÊNDICE III - MAPA DE PREÇOS'!X142</f>
        <v>57.67</v>
      </c>
      <c r="H142" s="13">
        <f t="shared" si="2"/>
        <v>173.01</v>
      </c>
    </row>
    <row r="143" spans="1:8" ht="115.5" x14ac:dyDescent="0.3">
      <c r="A143" s="1">
        <v>139</v>
      </c>
      <c r="B143" s="10">
        <f>'APÊNDICE II-MEMÓRIA DE CÁLCULO'!B144</f>
        <v>12407</v>
      </c>
      <c r="C143" s="10">
        <f>'APÊNDICE II-MEMÓRIA DE CÁLCULO'!C144</f>
        <v>369204</v>
      </c>
      <c r="D143" s="11" t="str">
        <f>'APÊNDICE II-MEMÓRIA DE CÁLCULO'!D144</f>
        <v>Gaze - tipo: hidrófila, dimensão 91 x 91 cm, material: tecido 100% algodão, quantidade fios: 13 fios/M2, formato: circular, tipo: queijo, características adicionais: altamente absorvente, cor branco, 8 camadas e dobras. Embalagem individual contendo externamente dados de identificação e procedência, prazo de validade.</v>
      </c>
      <c r="E143" s="10" t="str">
        <f>'APÊNDICE II-MEMÓRIA DE CÁLCULO'!E144</f>
        <v>UNIDADE</v>
      </c>
      <c r="F143" s="27">
        <f>'APÊNDICE II-MEMÓRIA DE CÁLCULO'!L144</f>
        <v>20</v>
      </c>
      <c r="G143" s="13">
        <f>'APÊNDICE III - MAPA DE PREÇOS'!X143</f>
        <v>28.74</v>
      </c>
      <c r="H143" s="13">
        <f t="shared" si="2"/>
        <v>574.79999999999995</v>
      </c>
    </row>
    <row r="144" spans="1:8" ht="115.5" x14ac:dyDescent="0.3">
      <c r="A144" s="1">
        <v>140</v>
      </c>
      <c r="B144" s="10">
        <f>'APÊNDICE II-MEMÓRIA DE CÁLCULO'!B145</f>
        <v>12408</v>
      </c>
      <c r="C144" s="10">
        <f>'APÊNDICE II-MEMÓRIA DE CÁLCULO'!C145</f>
        <v>445576</v>
      </c>
      <c r="D144" s="11" t="str">
        <f>'APÊNDICE II-MEMÓRIA DE CÁLCULO'!D145</f>
        <v xml:space="preserve">Garrote com trava - tamanho: adulto,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v>
      </c>
      <c r="E144" s="10" t="str">
        <f>'APÊNDICE II-MEMÓRIA DE CÁLCULO'!E145</f>
        <v>UNIDADE</v>
      </c>
      <c r="F144" s="27">
        <f>'APÊNDICE II-MEMÓRIA DE CÁLCULO'!L145</f>
        <v>5</v>
      </c>
      <c r="G144" s="13">
        <f>'APÊNDICE III - MAPA DE PREÇOS'!X144</f>
        <v>8.0500000000000007</v>
      </c>
      <c r="H144" s="13">
        <f t="shared" si="2"/>
        <v>40.25</v>
      </c>
    </row>
    <row r="145" spans="1:8" ht="115.5" x14ac:dyDescent="0.3">
      <c r="A145" s="1">
        <v>141</v>
      </c>
      <c r="B145" s="10">
        <f>'APÊNDICE II-MEMÓRIA DE CÁLCULO'!B146</f>
        <v>12409</v>
      </c>
      <c r="C145" s="10">
        <f>'APÊNDICE II-MEMÓRIA DE CÁLCULO'!C146</f>
        <v>445577</v>
      </c>
      <c r="D145" s="11" t="str">
        <f>'APÊNDICE II-MEMÓRIA DE CÁLCULO'!D146</f>
        <v xml:space="preserve">Garrote com trava - tamanho: infantil,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v>
      </c>
      <c r="E145" s="10" t="str">
        <f>'APÊNDICE II-MEMÓRIA DE CÁLCULO'!E146</f>
        <v>UNIDADE</v>
      </c>
      <c r="F145" s="27">
        <f>'APÊNDICE II-MEMÓRIA DE CÁLCULO'!L146</f>
        <v>5</v>
      </c>
      <c r="G145" s="13">
        <f>'APÊNDICE III - MAPA DE PREÇOS'!X145</f>
        <v>9.1999999999999993</v>
      </c>
      <c r="H145" s="13">
        <f t="shared" si="2"/>
        <v>46</v>
      </c>
    </row>
    <row r="146" spans="1:8" ht="82.5" x14ac:dyDescent="0.3">
      <c r="A146" s="1">
        <v>142</v>
      </c>
      <c r="B146" s="10">
        <f>'APÊNDICE II-MEMÓRIA DE CÁLCULO'!B147</f>
        <v>16606</v>
      </c>
      <c r="C146" s="10" t="str">
        <f>'APÊNDICE II-MEMÓRIA DE CÁLCULO'!C147</f>
        <v>-</v>
      </c>
      <c r="D146" s="11" t="str">
        <f>'APÊNDICE II-MEMÓRIA DE CÁLCULO'!D147</f>
        <v>Gel - aplicação: para ultrassonografia, capacidade: 1 KG, características adicionais: eletrolítico para ultrassonografia, embalagem contendo externamente dados de identificação e procedência, lote, prazo de validade e registro em órgão competente.</v>
      </c>
      <c r="E146" s="10" t="str">
        <f>'APÊNDICE II-MEMÓRIA DE CÁLCULO'!E147</f>
        <v>KG</v>
      </c>
      <c r="F146" s="27">
        <f>'APÊNDICE II-MEMÓRIA DE CÁLCULO'!L147</f>
        <v>250</v>
      </c>
      <c r="G146" s="13">
        <f>'APÊNDICE III - MAPA DE PREÇOS'!X146</f>
        <v>7.72</v>
      </c>
      <c r="H146" s="13">
        <f t="shared" si="2"/>
        <v>1930</v>
      </c>
    </row>
    <row r="147" spans="1:8" ht="99" x14ac:dyDescent="0.3">
      <c r="A147" s="1">
        <v>143</v>
      </c>
      <c r="B147" s="10">
        <f>'APÊNDICE II-MEMÓRIA DE CÁLCULO'!B148</f>
        <v>12411</v>
      </c>
      <c r="C147" s="10">
        <f>'APÊNDICE II-MEMÓRIA DE CÁLCULO'!C148</f>
        <v>230811</v>
      </c>
      <c r="D147" s="11" t="str">
        <f>'APÊNDICE II-MEMÓRIA DE CÁLCULO'!D148</f>
        <v xml:space="preserve">Gel - aplicação: ECG, eletrocondutor para eletrocardiograma, capacidade: frasco com 100G, características adicionais: embalagem contendo externamente dados de identificação e procedência, lote, prazo de validade e registro em órgão competente. </v>
      </c>
      <c r="E147" s="10" t="str">
        <f>'APÊNDICE II-MEMÓRIA DE CÁLCULO'!E148</f>
        <v>FRASCO</v>
      </c>
      <c r="F147" s="27">
        <f>'APÊNDICE II-MEMÓRIA DE CÁLCULO'!L148</f>
        <v>24</v>
      </c>
      <c r="G147" s="13">
        <f>'APÊNDICE III - MAPA DE PREÇOS'!X147</f>
        <v>4.26</v>
      </c>
      <c r="H147" s="13">
        <f t="shared" si="2"/>
        <v>102.24</v>
      </c>
    </row>
    <row r="148" spans="1:8" ht="148.5" x14ac:dyDescent="0.3">
      <c r="A148" s="1">
        <v>144</v>
      </c>
      <c r="B148" s="10">
        <f>'APÊNDICE II-MEMÓRIA DE CÁLCULO'!B149</f>
        <v>12412</v>
      </c>
      <c r="C148" s="10">
        <f>'APÊNDICE II-MEMÓRIA DE CÁLCULO'!C149</f>
        <v>332346</v>
      </c>
      <c r="D148" s="11" t="str">
        <f>'APÊNDICE II-MEMÓRIA DE CÁLCULO'!D149</f>
        <v xml:space="preserve">Indicador químico, classe: 5 - tipo: integrador, tipo uso: interno, apresentação: caixa com pacotes com 250 unidades, características adicionais: integrador em conformidade com ISSO 11140-1, que possibilita a monitorização das condições de esterilização às misturas de gás óxido de etileno, no interior das embalagens, embalagem  constando os dados de identificação e registro em órgão competente. 
</v>
      </c>
      <c r="E148" s="10" t="str">
        <f>'APÊNDICE II-MEMÓRIA DE CÁLCULO'!E149</f>
        <v xml:space="preserve">CAIXA </v>
      </c>
      <c r="F148" s="27">
        <f>'APÊNDICE II-MEMÓRIA DE CÁLCULO'!L149</f>
        <v>48</v>
      </c>
      <c r="G148" s="13">
        <f>'APÊNDICE III - MAPA DE PREÇOS'!X148</f>
        <v>99.74</v>
      </c>
      <c r="H148" s="13">
        <f t="shared" si="2"/>
        <v>4787.5199999999995</v>
      </c>
    </row>
    <row r="149" spans="1:8" ht="115.5" x14ac:dyDescent="0.3">
      <c r="A149" s="1">
        <v>145</v>
      </c>
      <c r="B149" s="10">
        <f>'APÊNDICE II-MEMÓRIA DE CÁLCULO'!B150</f>
        <v>12413</v>
      </c>
      <c r="C149" s="10" t="str">
        <f>'APÊNDICE II-MEMÓRIA DE CÁLCULO'!C150</f>
        <v>-</v>
      </c>
      <c r="D149" s="11" t="str">
        <f>'APÊNDICE II-MEMÓRIA DE CÁLCULO'!D150</f>
        <v>Imobilizador apoio lateral de cabeça - material: polietileno de alta densidade e revestido com espuma macia tipo EVA, dimensões: 25 cm x 0,9 cm x 16 cm, características adicionais: fixador exclusivo na região frontal, regulagem em velcro, possui cintos imobilizadores reguláveis, registro em órgão competente.</v>
      </c>
      <c r="E149" s="10" t="str">
        <f>'APÊNDICE II-MEMÓRIA DE CÁLCULO'!E150</f>
        <v>UNIDADE</v>
      </c>
      <c r="F149" s="27">
        <f>'APÊNDICE II-MEMÓRIA DE CÁLCULO'!L150</f>
        <v>3</v>
      </c>
      <c r="G149" s="13">
        <f>'APÊNDICE III - MAPA DE PREÇOS'!X149</f>
        <v>191.49</v>
      </c>
      <c r="H149" s="13">
        <f t="shared" si="2"/>
        <v>574.47</v>
      </c>
    </row>
    <row r="150" spans="1:8" ht="115.5" x14ac:dyDescent="0.3">
      <c r="A150" s="1">
        <v>146</v>
      </c>
      <c r="B150" s="10">
        <f>'APÊNDICE II-MEMÓRIA DE CÁLCULO'!B151</f>
        <v>12414</v>
      </c>
      <c r="C150" s="10">
        <f>'APÊNDICE II-MEMÓRIA DE CÁLCULO'!C151</f>
        <v>398705</v>
      </c>
      <c r="D150" s="11" t="str">
        <f>'APÊNDICE II-MEMÓRIA DE CÁLCULO'!D151</f>
        <v>Iodopovidona (Pvpi), 1000ml - forma farmacêutica: solução degermante, concentração: a 10%, características adicionais: Iodo disponível associado a lauril éter sulfato de sódio. Embalagem cor âmbar contendo externamente dados de identificação e procedência, lote, prazo de validade e registro em órgão competente.</v>
      </c>
      <c r="E150" s="10" t="str">
        <f>'APÊNDICE II-MEMÓRIA DE CÁLCULO'!E151</f>
        <v>FRASCO</v>
      </c>
      <c r="F150" s="27">
        <f>'APÊNDICE II-MEMÓRIA DE CÁLCULO'!L151</f>
        <v>48</v>
      </c>
      <c r="G150" s="13">
        <f>'APÊNDICE III - MAPA DE PREÇOS'!X150</f>
        <v>42.78</v>
      </c>
      <c r="H150" s="13">
        <f t="shared" si="2"/>
        <v>2053.44</v>
      </c>
    </row>
    <row r="151" spans="1:8" ht="66" x14ac:dyDescent="0.3">
      <c r="A151" s="1">
        <v>147</v>
      </c>
      <c r="B151" s="10">
        <f>'APÊNDICE II-MEMÓRIA DE CÁLCULO'!B152</f>
        <v>12415</v>
      </c>
      <c r="C151" s="10">
        <f>'APÊNDICE II-MEMÓRIA DE CÁLCULO'!C152</f>
        <v>454560</v>
      </c>
      <c r="D151" s="11" t="str">
        <f>'APÊNDICE II-MEMÓRIA DE CÁLCULO'!D152</f>
        <v>Kit para nebulização - tamanho: adulto, características: conjunto para nebulização composta por máscara facial, traqueia com 1,50m com parede interna lisa, reservatório com capacidade para 50ml.</v>
      </c>
      <c r="E151" s="10" t="str">
        <f>'APÊNDICE II-MEMÓRIA DE CÁLCULO'!E152</f>
        <v>UNIDADE</v>
      </c>
      <c r="F151" s="27">
        <f>'APÊNDICE II-MEMÓRIA DE CÁLCULO'!L152</f>
        <v>50</v>
      </c>
      <c r="G151" s="13">
        <f>'APÊNDICE III - MAPA DE PREÇOS'!X151</f>
        <v>7.71</v>
      </c>
      <c r="H151" s="13">
        <f t="shared" si="2"/>
        <v>385.5</v>
      </c>
    </row>
    <row r="152" spans="1:8" ht="66" x14ac:dyDescent="0.3">
      <c r="A152" s="1">
        <v>148</v>
      </c>
      <c r="B152" s="10">
        <f>'APÊNDICE II-MEMÓRIA DE CÁLCULO'!B153</f>
        <v>12416</v>
      </c>
      <c r="C152" s="10">
        <f>'APÊNDICE II-MEMÓRIA DE CÁLCULO'!C153</f>
        <v>454561</v>
      </c>
      <c r="D152" s="11" t="str">
        <f>'APÊNDICE II-MEMÓRIA DE CÁLCULO'!D153</f>
        <v>Kit para nebulização - tamanho: infantil, características: conjunto para nebulização composta por máscara facial, traqueia com 1,50m com parede interna lisa, reservatório com capacidade para 50ml.</v>
      </c>
      <c r="E152" s="10" t="str">
        <f>'APÊNDICE II-MEMÓRIA DE CÁLCULO'!E153</f>
        <v>UNIDADE</v>
      </c>
      <c r="F152" s="27">
        <f>'APÊNDICE II-MEMÓRIA DE CÁLCULO'!L153</f>
        <v>50</v>
      </c>
      <c r="G152" s="13">
        <f>'APÊNDICE III - MAPA DE PREÇOS'!X152</f>
        <v>7.57</v>
      </c>
      <c r="H152" s="13">
        <f t="shared" si="2"/>
        <v>378.5</v>
      </c>
    </row>
    <row r="153" spans="1:8" ht="198" x14ac:dyDescent="0.3">
      <c r="A153" s="1">
        <v>149</v>
      </c>
      <c r="B153" s="10">
        <f>'APÊNDICE II-MEMÓRIA DE CÁLCULO'!B154</f>
        <v>12417</v>
      </c>
      <c r="C153" s="10" t="str">
        <f>'APÊNDICE II-MEMÓRIA DE CÁLCULO'!C154</f>
        <v>-</v>
      </c>
      <c r="D153" s="11" t="str">
        <f>'APÊNDICE II-MEMÓRIA DE CÁLCULO'!D154</f>
        <v xml:space="preserve">Kit máscara de venturi - tamanho: adulto,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v>
      </c>
      <c r="E153" s="10" t="str">
        <f>'APÊNDICE II-MEMÓRIA DE CÁLCULO'!E154</f>
        <v>KIT</v>
      </c>
      <c r="F153" s="27">
        <f>'APÊNDICE II-MEMÓRIA DE CÁLCULO'!L154</f>
        <v>50</v>
      </c>
      <c r="G153" s="13">
        <f>'APÊNDICE III - MAPA DE PREÇOS'!X153</f>
        <v>26.2</v>
      </c>
      <c r="H153" s="13">
        <f t="shared" si="2"/>
        <v>1310</v>
      </c>
    </row>
    <row r="154" spans="1:8" ht="198" x14ac:dyDescent="0.3">
      <c r="A154" s="1">
        <v>150</v>
      </c>
      <c r="B154" s="10">
        <f>'APÊNDICE II-MEMÓRIA DE CÁLCULO'!B155</f>
        <v>12418</v>
      </c>
      <c r="C154" s="10" t="str">
        <f>'APÊNDICE II-MEMÓRIA DE CÁLCULO'!C155</f>
        <v>-</v>
      </c>
      <c r="D154" s="11" t="str">
        <f>'APÊNDICE II-MEMÓRIA DE CÁLCULO'!D155</f>
        <v xml:space="preserve">Kit máscara de venturi - tamanho: infantil,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v>
      </c>
      <c r="E154" s="10" t="str">
        <f>'APÊNDICE II-MEMÓRIA DE CÁLCULO'!E155</f>
        <v>KIT</v>
      </c>
      <c r="F154" s="27">
        <f>'APÊNDICE II-MEMÓRIA DE CÁLCULO'!L155</f>
        <v>50</v>
      </c>
      <c r="G154" s="13">
        <f>'APÊNDICE III - MAPA DE PREÇOS'!X154</f>
        <v>22.05</v>
      </c>
      <c r="H154" s="13">
        <f t="shared" si="2"/>
        <v>1102.5</v>
      </c>
    </row>
    <row r="155" spans="1:8" ht="82.5" x14ac:dyDescent="0.3">
      <c r="A155" s="1">
        <v>151</v>
      </c>
      <c r="B155" s="10">
        <f>'APÊNDICE II-MEMÓRIA DE CÁLCULO'!B156</f>
        <v>12419</v>
      </c>
      <c r="C155" s="10">
        <f>'APÊNDICE II-MEMÓRIA DE CÁLCULO'!C156</f>
        <v>405738</v>
      </c>
      <c r="D155" s="11" t="str">
        <f>'APÊNDICE II-MEMÓRIA DE CÁLCULO'!D156</f>
        <v>Kit completo para a realização do exame papanicolau - tamanho: P, características adicionais: não estéril, kit contendo 1 espátula de Ayres, 1 escova cervical, 1 lâmina de vidro, 1 caixa porta-lâminas, 1 par de luvas e 1 espéculo tamanho P.</v>
      </c>
      <c r="E155" s="10" t="str">
        <f>'APÊNDICE II-MEMÓRIA DE CÁLCULO'!E156</f>
        <v>UNIDADE</v>
      </c>
      <c r="F155" s="27">
        <f>'APÊNDICE II-MEMÓRIA DE CÁLCULO'!L156</f>
        <v>500</v>
      </c>
      <c r="G155" s="13">
        <f>'APÊNDICE III - MAPA DE PREÇOS'!X155</f>
        <v>3.64</v>
      </c>
      <c r="H155" s="13">
        <f t="shared" si="2"/>
        <v>1820</v>
      </c>
    </row>
    <row r="156" spans="1:8" ht="82.5" x14ac:dyDescent="0.3">
      <c r="A156" s="1">
        <v>152</v>
      </c>
      <c r="B156" s="10">
        <f>'APÊNDICE II-MEMÓRIA DE CÁLCULO'!B157</f>
        <v>12420</v>
      </c>
      <c r="C156" s="10">
        <f>'APÊNDICE II-MEMÓRIA DE CÁLCULO'!C157</f>
        <v>405739</v>
      </c>
      <c r="D156" s="11" t="str">
        <f>'APÊNDICE II-MEMÓRIA DE CÁLCULO'!D157</f>
        <v>Kit completo para a realização do exame papanicolau - tamanho: M, características adicionais: não estéril, kit contendo 1 espátula de Ayres, 1 escova cervical, 1 lâmina de vidro, 1 caixa porta-lâminas, 1 par de luvas e 1 espéculo tamanho M.</v>
      </c>
      <c r="E156" s="10" t="str">
        <f>'APÊNDICE II-MEMÓRIA DE CÁLCULO'!E157</f>
        <v>UNIDADE</v>
      </c>
      <c r="F156" s="27">
        <f>'APÊNDICE II-MEMÓRIA DE CÁLCULO'!L157</f>
        <v>2500</v>
      </c>
      <c r="G156" s="13">
        <f>'APÊNDICE III - MAPA DE PREÇOS'!X156</f>
        <v>4.6900000000000004</v>
      </c>
      <c r="H156" s="13">
        <f t="shared" si="2"/>
        <v>11725.000000000002</v>
      </c>
    </row>
    <row r="157" spans="1:8" ht="82.5" x14ac:dyDescent="0.3">
      <c r="A157" s="1">
        <v>153</v>
      </c>
      <c r="B157" s="10">
        <f>'APÊNDICE II-MEMÓRIA DE CÁLCULO'!B158</f>
        <v>12421</v>
      </c>
      <c r="C157" s="10">
        <f>'APÊNDICE II-MEMÓRIA DE CÁLCULO'!C158</f>
        <v>405740</v>
      </c>
      <c r="D157" s="11" t="str">
        <f>'APÊNDICE II-MEMÓRIA DE CÁLCULO'!D158</f>
        <v>Kit completo para a realização do exame papanicolau - tamanho: G, características adicionais: não estéril, kit contendo 1 espátula de Ayres, 1 escova cervical, 1 lâmina de vidro, 1 caixa porta-lâminas, 1 par de luvas e 1 espéculo tamanho G.</v>
      </c>
      <c r="E157" s="10" t="str">
        <f>'APÊNDICE II-MEMÓRIA DE CÁLCULO'!E158</f>
        <v>UNIDADE</v>
      </c>
      <c r="F157" s="27">
        <f>'APÊNDICE II-MEMÓRIA DE CÁLCULO'!L158</f>
        <v>400</v>
      </c>
      <c r="G157" s="13">
        <f>'APÊNDICE III - MAPA DE PREÇOS'!X157</f>
        <v>4.42</v>
      </c>
      <c r="H157" s="13">
        <f t="shared" si="2"/>
        <v>1768</v>
      </c>
    </row>
    <row r="158" spans="1:8" ht="115.5" x14ac:dyDescent="0.3">
      <c r="A158" s="1">
        <v>154</v>
      </c>
      <c r="B158" s="10">
        <f>'APÊNDICE II-MEMÓRIA DE CÁLCULO'!B159</f>
        <v>12571</v>
      </c>
      <c r="C158" s="10">
        <f>'APÊNDICE II-MEMÓRIA DE CÁLCULO'!C159</f>
        <v>444151</v>
      </c>
      <c r="D158" s="11" t="str">
        <f>'APÊNDICE II-MEMÓRIA DE CÁLCULO'!D159</f>
        <v xml:space="preserve">Frasco Coleta de 100ml - Fechamento hermético, estéril por radiação UV, comprimido conservante de tiossulfato de sódio (10mg), tampa e frasco livres de fluorescência, com invólucro de plástico; graduado; cor transparente. validade de no mínimo 1 (um) ano. 
</v>
      </c>
      <c r="E158" s="10" t="str">
        <f>'APÊNDICE II-MEMÓRIA DE CÁLCULO'!E159</f>
        <v>FRASCO</v>
      </c>
      <c r="F158" s="27">
        <f>'APÊNDICE II-MEMÓRIA DE CÁLCULO'!L159</f>
        <v>240</v>
      </c>
      <c r="G158" s="13">
        <f>'APÊNDICE III - MAPA DE PREÇOS'!X158</f>
        <v>4.9400000000000004</v>
      </c>
      <c r="H158" s="13">
        <f t="shared" si="2"/>
        <v>1185.6000000000001</v>
      </c>
    </row>
    <row r="159" spans="1:8" ht="82.5" x14ac:dyDescent="0.3">
      <c r="A159" s="1">
        <v>155</v>
      </c>
      <c r="B159" s="10">
        <f>'APÊNDICE II-MEMÓRIA DE CÁLCULO'!B160</f>
        <v>12423</v>
      </c>
      <c r="C159" s="10" t="str">
        <f>'APÊNDICE II-MEMÓRIA DE CÁLCULO'!C160</f>
        <v>-</v>
      </c>
      <c r="D159" s="11" t="str">
        <f>'APÊNDICE II-MEMÓRIA DE CÁLCULO'!D160</f>
        <v xml:space="preserve">Equipo macrogotas fotossensível - medindo 1,50m, câmara gotejadora padrão macro gotas (1 ml = 20 gotas/ minuto). Utilizado para administração de medicamentos sensíveis a luz.
</v>
      </c>
      <c r="E159" s="10" t="str">
        <f>'APÊNDICE II-MEMÓRIA DE CÁLCULO'!E160</f>
        <v>UNIDADE</v>
      </c>
      <c r="F159" s="27">
        <f>'APÊNDICE II-MEMÓRIA DE CÁLCULO'!L160</f>
        <v>2863</v>
      </c>
      <c r="G159" s="13">
        <f>'APÊNDICE III - MAPA DE PREÇOS'!X159</f>
        <v>4.93</v>
      </c>
      <c r="H159" s="13">
        <f t="shared" si="2"/>
        <v>14114.589999999998</v>
      </c>
    </row>
    <row r="160" spans="1:8" ht="132" x14ac:dyDescent="0.3">
      <c r="A160" s="1">
        <v>156</v>
      </c>
      <c r="B160" s="10">
        <f>'APÊNDICE II-MEMÓRIA DE CÁLCULO'!B161</f>
        <v>12424</v>
      </c>
      <c r="C160" s="10" t="str">
        <f>'APÊNDICE II-MEMÓRIA DE CÁLCULO'!C161</f>
        <v>-</v>
      </c>
      <c r="D160" s="11" t="str">
        <f>'APÊNDICE II-MEMÓRIA DE CÁLCULO'!D161</f>
        <v>Lanceta, tipo: descartável - tamanho: 28G, tipo: trifacetada, material: agulha de aço inoxidável, características adicionais: com dispositivo de segurança, estéril, segurança atendendo a norma NR32 aprovada pela portaria MTE 485 de 11/11/2005. Embalagem contendo externamente dados de identificação e procedência, lote e registro em órgão competente.</v>
      </c>
      <c r="E160" s="10" t="str">
        <f>'APÊNDICE II-MEMÓRIA DE CÁLCULO'!E161</f>
        <v>UNIDADE</v>
      </c>
      <c r="F160" s="27">
        <f>'APÊNDICE II-MEMÓRIA DE CÁLCULO'!L161</f>
        <v>40900</v>
      </c>
      <c r="G160" s="13">
        <f>'APÊNDICE III - MAPA DE PREÇOS'!X160</f>
        <v>0.09</v>
      </c>
      <c r="H160" s="13">
        <f t="shared" si="2"/>
        <v>3681</v>
      </c>
    </row>
    <row r="161" spans="1:8" ht="49.5" x14ac:dyDescent="0.3">
      <c r="A161" s="1">
        <v>157</v>
      </c>
      <c r="B161" s="10">
        <f>'APÊNDICE II-MEMÓRIA DE CÁLCULO'!B162</f>
        <v>12425</v>
      </c>
      <c r="C161" s="10">
        <f>'APÊNDICE II-MEMÓRIA DE CÁLCULO'!C162</f>
        <v>481791</v>
      </c>
      <c r="D161" s="11" t="str">
        <f>'APÊNDICE II-MEMÓRIA DE CÁLCULO'!D162</f>
        <v xml:space="preserve">Lençol descartável - material: papel, dimensões: 70 cm de largura 50 m de comprimento, apresentação: rolo, aplicação: maca hospitalar. </v>
      </c>
      <c r="E161" s="10" t="str">
        <f>'APÊNDICE II-MEMÓRIA DE CÁLCULO'!E162</f>
        <v>ROLO</v>
      </c>
      <c r="F161" s="27">
        <f>'APÊNDICE II-MEMÓRIA DE CÁLCULO'!L162</f>
        <v>770</v>
      </c>
      <c r="G161" s="13">
        <f>'APÊNDICE III - MAPA DE PREÇOS'!X161</f>
        <v>8.94</v>
      </c>
      <c r="H161" s="13">
        <f t="shared" si="2"/>
        <v>6883.7999999999993</v>
      </c>
    </row>
    <row r="162" spans="1:8" ht="148.5" x14ac:dyDescent="0.3">
      <c r="A162" s="1">
        <v>158</v>
      </c>
      <c r="B162" s="10">
        <f>'APÊNDICE II-MEMÓRIA DE CÁLCULO'!B163</f>
        <v>12426</v>
      </c>
      <c r="C162" s="10">
        <f>'APÊNDICE II-MEMÓRIA DE CÁLCULO'!C163</f>
        <v>299240</v>
      </c>
      <c r="D162" s="11" t="str">
        <f>'APÊNDICE II-MEMÓRIA DE CÁLCULO'!D163</f>
        <v>Lâmina bisturi - tamanho: Nº 24,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v>
      </c>
      <c r="E162" s="10" t="str">
        <f>'APÊNDICE II-MEMÓRIA DE CÁLCULO'!E163</f>
        <v>CAIXA</v>
      </c>
      <c r="F162" s="27">
        <f>'APÊNDICE II-MEMÓRIA DE CÁLCULO'!L163</f>
        <v>170</v>
      </c>
      <c r="G162" s="13">
        <f>'APÊNDICE III - MAPA DE PREÇOS'!X162</f>
        <v>23.84</v>
      </c>
      <c r="H162" s="13">
        <f t="shared" si="2"/>
        <v>4052.8</v>
      </c>
    </row>
    <row r="163" spans="1:8" ht="148.5" x14ac:dyDescent="0.3">
      <c r="A163" s="1">
        <v>159</v>
      </c>
      <c r="B163" s="10">
        <f>'APÊNDICE II-MEMÓRIA DE CÁLCULO'!B164</f>
        <v>12427</v>
      </c>
      <c r="C163" s="10">
        <f>'APÊNDICE II-MEMÓRIA DE CÁLCULO'!C164</f>
        <v>242918</v>
      </c>
      <c r="D163" s="11" t="str">
        <f>'APÊNDICE II-MEMÓRIA DE CÁLCULO'!D164</f>
        <v>Lâmina bisturi - tamanho: Nº 22,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v>
      </c>
      <c r="E163" s="10" t="str">
        <f>'APÊNDICE II-MEMÓRIA DE CÁLCULO'!E164</f>
        <v>CAIXA</v>
      </c>
      <c r="F163" s="27">
        <f>'APÊNDICE II-MEMÓRIA DE CÁLCULO'!L164</f>
        <v>43</v>
      </c>
      <c r="G163" s="13">
        <f>'APÊNDICE III - MAPA DE PREÇOS'!X163</f>
        <v>32.71</v>
      </c>
      <c r="H163" s="13">
        <f t="shared" si="2"/>
        <v>1406.53</v>
      </c>
    </row>
    <row r="164" spans="1:8" ht="99" x14ac:dyDescent="0.3">
      <c r="A164" s="1">
        <v>160</v>
      </c>
      <c r="B164" s="10">
        <f>'APÊNDICE II-MEMÓRIA DE CÁLCULO'!B165</f>
        <v>12428</v>
      </c>
      <c r="C164" s="10">
        <f>'APÊNDICE II-MEMÓRIA DE CÁLCULO'!C165</f>
        <v>409705</v>
      </c>
      <c r="D164" s="11" t="str">
        <f>'APÊNDICE II-MEMÓRIA DE CÁLCULO'!D165</f>
        <v>Lâmina de vidro - tipo: com extremidade fosca, dimensões: 26 x 76 mm, características adicionais: caixa com 50 unidades. Embalagem contendo externamente dados de identificação, procedência, lote, prazo de validade e registro em órgão competente.</v>
      </c>
      <c r="E164" s="10" t="str">
        <f>'APÊNDICE II-MEMÓRIA DE CÁLCULO'!E165</f>
        <v>CAIXA</v>
      </c>
      <c r="F164" s="27">
        <f>'APÊNDICE II-MEMÓRIA DE CÁLCULO'!L165</f>
        <v>25</v>
      </c>
      <c r="G164" s="13">
        <f>'APÊNDICE III - MAPA DE PREÇOS'!X164</f>
        <v>6.97</v>
      </c>
      <c r="H164" s="13">
        <f t="shared" si="2"/>
        <v>174.25</v>
      </c>
    </row>
    <row r="165" spans="1:8" ht="264" x14ac:dyDescent="0.3">
      <c r="A165" s="1">
        <v>161</v>
      </c>
      <c r="B165" s="10">
        <f>'APÊNDICE II-MEMÓRIA DE CÁLCULO'!B166</f>
        <v>12573</v>
      </c>
      <c r="C165" s="10">
        <f>'APÊNDICE II-MEMÓRIA DE CÁLCULO'!C166</f>
        <v>269839</v>
      </c>
      <c r="D165" s="11" t="str">
        <f>'APÊNDICE II-MEMÓRIA DE CÁLCULO'!D166</f>
        <v>Luva cirúrgica - tamanho Nº 7,0,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5" s="10" t="str">
        <f>'APÊNDICE II-MEMÓRIA DE CÁLCULO'!E166</f>
        <v>PAR</v>
      </c>
      <c r="F165" s="27">
        <f>'APÊNDICE II-MEMÓRIA DE CÁLCULO'!L166</f>
        <v>8000</v>
      </c>
      <c r="G165" s="13">
        <f>'APÊNDICE III - MAPA DE PREÇOS'!X165</f>
        <v>1.33</v>
      </c>
      <c r="H165" s="13">
        <f t="shared" si="2"/>
        <v>10640</v>
      </c>
    </row>
    <row r="166" spans="1:8" ht="264" x14ac:dyDescent="0.3">
      <c r="A166" s="1">
        <v>162</v>
      </c>
      <c r="B166" s="10">
        <f>'APÊNDICE II-MEMÓRIA DE CÁLCULO'!B167</f>
        <v>12429</v>
      </c>
      <c r="C166" s="10">
        <f>'APÊNDICE II-MEMÓRIA DE CÁLCULO'!C167</f>
        <v>269838</v>
      </c>
      <c r="D166" s="11" t="str">
        <f>'APÊNDICE II-MEMÓRIA DE CÁLCULO'!D167</f>
        <v>Luva cirúrgica - tamanho Nº 7,5,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6" s="10" t="str">
        <f>'APÊNDICE II-MEMÓRIA DE CÁLCULO'!E167</f>
        <v>PAR</v>
      </c>
      <c r="F166" s="27">
        <f>'APÊNDICE II-MEMÓRIA DE CÁLCULO'!L167</f>
        <v>15000</v>
      </c>
      <c r="G166" s="13">
        <f>'APÊNDICE III - MAPA DE PREÇOS'!X166</f>
        <v>1.1200000000000001</v>
      </c>
      <c r="H166" s="13">
        <f t="shared" si="2"/>
        <v>16800</v>
      </c>
    </row>
    <row r="167" spans="1:8" ht="264" x14ac:dyDescent="0.3">
      <c r="A167" s="1">
        <v>163</v>
      </c>
      <c r="B167" s="10">
        <f>'APÊNDICE II-MEMÓRIA DE CÁLCULO'!B168</f>
        <v>12430</v>
      </c>
      <c r="C167" s="10">
        <f>'APÊNDICE II-MEMÓRIA DE CÁLCULO'!C168</f>
        <v>269837</v>
      </c>
      <c r="D167" s="11" t="str">
        <f>'APÊNDICE II-MEMÓRIA DE CÁLCULO'!D168</f>
        <v>Luva cirúrgica - tamanho Nº 8,0,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7" s="10" t="str">
        <f>'APÊNDICE II-MEMÓRIA DE CÁLCULO'!E168</f>
        <v>PAR</v>
      </c>
      <c r="F167" s="27">
        <f>'APÊNDICE II-MEMÓRIA DE CÁLCULO'!L168</f>
        <v>3850</v>
      </c>
      <c r="G167" s="13">
        <f>'APÊNDICE III - MAPA DE PREÇOS'!X167</f>
        <v>1.1100000000000001</v>
      </c>
      <c r="H167" s="13">
        <f t="shared" si="2"/>
        <v>4273.5</v>
      </c>
    </row>
    <row r="168" spans="1:8" ht="264" x14ac:dyDescent="0.3">
      <c r="A168" s="1">
        <v>164</v>
      </c>
      <c r="B168" s="10">
        <f>'APÊNDICE II-MEMÓRIA DE CÁLCULO'!B169</f>
        <v>12431</v>
      </c>
      <c r="C168" s="10">
        <f>'APÊNDICE II-MEMÓRIA DE CÁLCULO'!C169</f>
        <v>269947</v>
      </c>
      <c r="D168" s="11" t="str">
        <f>'APÊNDICE II-MEMÓRIA DE CÁLCULO'!D169</f>
        <v>Luva cirúrgica - tamanho Nº 8,5,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8" s="10" t="str">
        <f>'APÊNDICE II-MEMÓRIA DE CÁLCULO'!E169</f>
        <v>PAR</v>
      </c>
      <c r="F168" s="27">
        <f>'APÊNDICE II-MEMÓRIA DE CÁLCULO'!L169</f>
        <v>1000</v>
      </c>
      <c r="G168" s="13">
        <f>'APÊNDICE III - MAPA DE PREÇOS'!X168</f>
        <v>1.25</v>
      </c>
      <c r="H168" s="13">
        <f t="shared" si="2"/>
        <v>1250</v>
      </c>
    </row>
    <row r="169" spans="1:8" ht="181.5" x14ac:dyDescent="0.3">
      <c r="A169" s="1">
        <v>165</v>
      </c>
      <c r="B169" s="10">
        <f>'APÊNDICE II-MEMÓRIA DE CÁLCULO'!B170</f>
        <v>16339</v>
      </c>
      <c r="C169" s="10">
        <f>'APÊNDICE II-MEMÓRIA DE CÁLCULO'!C170</f>
        <v>269894</v>
      </c>
      <c r="D169" s="11" t="str">
        <f>'APÊNDICE II-MEMÓRIA DE CÁLCULO'!D170</f>
        <v>Luva para procedimento com pó, tamanho: pequeno,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69" s="10" t="str">
        <f>'APÊNDICE II-MEMÓRIA DE CÁLCULO'!E170</f>
        <v>CAIXA</v>
      </c>
      <c r="F169" s="27">
        <f>'APÊNDICE II-MEMÓRIA DE CÁLCULO'!L170</f>
        <v>2000</v>
      </c>
      <c r="G169" s="13">
        <f>'APÊNDICE III - MAPA DE PREÇOS'!X169</f>
        <v>27.71</v>
      </c>
      <c r="H169" s="13">
        <f t="shared" si="2"/>
        <v>55420</v>
      </c>
    </row>
    <row r="170" spans="1:8" ht="181.5" x14ac:dyDescent="0.3">
      <c r="A170" s="1">
        <v>166</v>
      </c>
      <c r="B170" s="10">
        <f>'APÊNDICE II-MEMÓRIA DE CÁLCULO'!B171</f>
        <v>16340</v>
      </c>
      <c r="C170" s="10">
        <f>'APÊNDICE II-MEMÓRIA DE CÁLCULO'!C171</f>
        <v>269893</v>
      </c>
      <c r="D170" s="11" t="str">
        <f>'APÊNDICE II-MEMÓRIA DE CÁLCULO'!D171</f>
        <v>Luva para procedimento com pó - tamanho: médio,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70" s="10" t="str">
        <f>'APÊNDICE II-MEMÓRIA DE CÁLCULO'!E171</f>
        <v>CAIXA</v>
      </c>
      <c r="F170" s="27">
        <f>'APÊNDICE II-MEMÓRIA DE CÁLCULO'!L171</f>
        <v>1913</v>
      </c>
      <c r="G170" s="13">
        <f>'APÊNDICE III - MAPA DE PREÇOS'!X170</f>
        <v>26.92</v>
      </c>
      <c r="H170" s="13">
        <f t="shared" si="2"/>
        <v>51497.960000000006</v>
      </c>
    </row>
    <row r="171" spans="1:8" ht="181.5" x14ac:dyDescent="0.3">
      <c r="A171" s="1">
        <v>167</v>
      </c>
      <c r="B171" s="10">
        <f>'APÊNDICE II-MEMÓRIA DE CÁLCULO'!B172</f>
        <v>16341</v>
      </c>
      <c r="C171" s="10">
        <f>'APÊNDICE II-MEMÓRIA DE CÁLCULO'!C172</f>
        <v>269892</v>
      </c>
      <c r="D171" s="11" t="str">
        <f>'APÊNDICE II-MEMÓRIA DE CÁLCULO'!D172</f>
        <v>Luva para procedimento com pó - tamanho: grande,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71" s="10" t="str">
        <f>'APÊNDICE II-MEMÓRIA DE CÁLCULO'!E172</f>
        <v>CAIXA</v>
      </c>
      <c r="F171" s="27">
        <f>'APÊNDICE II-MEMÓRIA DE CÁLCULO'!L172</f>
        <v>700</v>
      </c>
      <c r="G171" s="13">
        <f>'APÊNDICE III - MAPA DE PREÇOS'!X171</f>
        <v>27.2</v>
      </c>
      <c r="H171" s="13">
        <f t="shared" si="2"/>
        <v>19040</v>
      </c>
    </row>
    <row r="172" spans="1:8" ht="99" x14ac:dyDescent="0.3">
      <c r="A172" s="1">
        <v>168</v>
      </c>
      <c r="B172" s="10">
        <f>'APÊNDICE II-MEMÓRIA DE CÁLCULO'!B173</f>
        <v>12435</v>
      </c>
      <c r="C172" s="10" t="str">
        <f>'APÊNDICE II-MEMÓRIA DE CÁLCULO'!C173</f>
        <v>-</v>
      </c>
      <c r="D172" s="11" t="str">
        <f>'APÊNDICE II-MEMÓRIA DE CÁLCULO'!D173</f>
        <v>Localizador de veias - tipo: portátil (scanner venoso), alimentação: pilha alcalinas tipo AA, características adicionais: LEDs na cor vermelha, utilizado para facilitar e otimizar a busca venosa em pacientes, embalagem contendo 02 pilhas alcalinas já inclusas no tamanho AA.</v>
      </c>
      <c r="E172" s="10" t="str">
        <f>'APÊNDICE II-MEMÓRIA DE CÁLCULO'!E173</f>
        <v>UNIDADE</v>
      </c>
      <c r="F172" s="27">
        <f>'APÊNDICE II-MEMÓRIA DE CÁLCULO'!L173</f>
        <v>3</v>
      </c>
      <c r="G172" s="13">
        <f>'APÊNDICE III - MAPA DE PREÇOS'!X172</f>
        <v>948</v>
      </c>
      <c r="H172" s="13">
        <f t="shared" si="2"/>
        <v>2844</v>
      </c>
    </row>
    <row r="173" spans="1:8" ht="33" x14ac:dyDescent="0.3">
      <c r="A173" s="1">
        <v>169</v>
      </c>
      <c r="B173" s="10">
        <f>'APÊNDICE II-MEMÓRIA DE CÁLCULO'!B174</f>
        <v>12434</v>
      </c>
      <c r="C173" s="10">
        <f>'APÊNDICE II-MEMÓRIA DE CÁLCULO'!C174</f>
        <v>468644</v>
      </c>
      <c r="D173" s="11" t="str">
        <f>'APÊNDICE II-MEMÓRIA DE CÁLCULO'!D174</f>
        <v>Lâmpada laringoscópio - tensão nominal: 2,5 V, tipo: led, aplicação: rosca grande universal.</v>
      </c>
      <c r="E173" s="10" t="str">
        <f>'APÊNDICE II-MEMÓRIA DE CÁLCULO'!E174</f>
        <v>UNIDADE</v>
      </c>
      <c r="F173" s="27">
        <f>'APÊNDICE II-MEMÓRIA DE CÁLCULO'!L174</f>
        <v>6</v>
      </c>
      <c r="G173" s="13">
        <f>'APÊNDICE III - MAPA DE PREÇOS'!X173</f>
        <v>131.91</v>
      </c>
      <c r="H173" s="13">
        <f t="shared" si="2"/>
        <v>791.46</v>
      </c>
    </row>
    <row r="174" spans="1:8" ht="115.5" x14ac:dyDescent="0.3">
      <c r="A174" s="1">
        <v>170</v>
      </c>
      <c r="B174" s="10">
        <f>'APÊNDICE II-MEMÓRIA DE CÁLCULO'!B175</f>
        <v>12437</v>
      </c>
      <c r="C174" s="10">
        <f>'APÊNDICE II-MEMÓRIA DE CÁLCULO'!C175</f>
        <v>455228</v>
      </c>
      <c r="D174" s="11" t="str">
        <f>'APÊNDICE II-MEMÓRIA DE CÁLCULO'!D175</f>
        <v>Máscara descartável cirúrgica, material: confeccionada em TNT (tecido não tecido), características adicionais: atóxico, 100% polipropileno, com retenção batecriológica +/- 95%, para proporcionar maior segurança e conforto ao profissional, tripla com elástico, cor: branca, caixa com 50 unidades.</v>
      </c>
      <c r="E174" s="10" t="str">
        <f>'APÊNDICE II-MEMÓRIA DE CÁLCULO'!E175</f>
        <v>CAIXA</v>
      </c>
      <c r="F174" s="27">
        <f>'APÊNDICE II-MEMÓRIA DE CÁLCULO'!L175</f>
        <v>1321</v>
      </c>
      <c r="G174" s="13">
        <f>'APÊNDICE III - MAPA DE PREÇOS'!X174</f>
        <v>3.92</v>
      </c>
      <c r="H174" s="13">
        <f t="shared" si="2"/>
        <v>5178.32</v>
      </c>
    </row>
    <row r="175" spans="1:8" ht="115.5" x14ac:dyDescent="0.3">
      <c r="A175" s="1">
        <v>171</v>
      </c>
      <c r="B175" s="10">
        <f>'APÊNDICE II-MEMÓRIA DE CÁLCULO'!B176</f>
        <v>12438</v>
      </c>
      <c r="C175" s="10" t="str">
        <f>'APÊNDICE II-MEMÓRIA DE CÁLCULO'!C176</f>
        <v>-</v>
      </c>
      <c r="D175" s="11" t="str">
        <f>'APÊNDICE II-MEMÓRIA DE CÁLCULO'!D176</f>
        <v>Máscara de proteção - classe: N95, PFF2,  tipo: cirúrgica, tipo uso: semi-descartável, tipo fixação: tiras elásticas com vedação anatômica, tamanho e aplicação: adulto, características adicionais: filtragem bacteriana 99%, tripla camada. Embalagem contendo externamente dados de identificação e procedência, com registro ANVISA.</v>
      </c>
      <c r="E175" s="10" t="str">
        <f>'APÊNDICE II-MEMÓRIA DE CÁLCULO'!E176</f>
        <v>UNIDADE</v>
      </c>
      <c r="F175" s="27">
        <f>'APÊNDICE II-MEMÓRIA DE CÁLCULO'!L176</f>
        <v>1000</v>
      </c>
      <c r="G175" s="13">
        <f>'APÊNDICE III - MAPA DE PREÇOS'!X175</f>
        <v>0.97</v>
      </c>
      <c r="H175" s="13">
        <f t="shared" si="2"/>
        <v>970</v>
      </c>
    </row>
    <row r="176" spans="1:8" ht="115.5" x14ac:dyDescent="0.3">
      <c r="A176" s="1">
        <v>172</v>
      </c>
      <c r="B176" s="10">
        <f>'APÊNDICE II-MEMÓRIA DE CÁLCULO'!B177</f>
        <v>12439</v>
      </c>
      <c r="C176" s="10">
        <f>'APÊNDICE II-MEMÓRIA DE CÁLCULO'!C177</f>
        <v>445962</v>
      </c>
      <c r="D176" s="11" t="str">
        <f>'APÊNDICE II-MEMÓRIA DE CÁLCULO'!D177</f>
        <v>Malha tubular ortopédica - dimensões: 6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6" s="10" t="str">
        <f>'APÊNDICE II-MEMÓRIA DE CÁLCULO'!E177</f>
        <v>ROLO</v>
      </c>
      <c r="F176" s="27">
        <f>'APÊNDICE II-MEMÓRIA DE CÁLCULO'!L177</f>
        <v>50</v>
      </c>
      <c r="G176" s="13">
        <f>'APÊNDICE III - MAPA DE PREÇOS'!X176</f>
        <v>9.68</v>
      </c>
      <c r="H176" s="13">
        <f t="shared" si="2"/>
        <v>484</v>
      </c>
    </row>
    <row r="177" spans="1:8" ht="115.5" x14ac:dyDescent="0.3">
      <c r="A177" s="1">
        <v>173</v>
      </c>
      <c r="B177" s="10">
        <f>'APÊNDICE II-MEMÓRIA DE CÁLCULO'!B178</f>
        <v>12440</v>
      </c>
      <c r="C177" s="10">
        <f>'APÊNDICE II-MEMÓRIA DE CÁLCULO'!C178</f>
        <v>445963</v>
      </c>
      <c r="D177" s="11" t="str">
        <f>'APÊNDICE II-MEMÓRIA DE CÁLCULO'!D178</f>
        <v>Malha tubular ortopédica, dimensões: 8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7" s="10" t="str">
        <f>'APÊNDICE II-MEMÓRIA DE CÁLCULO'!E178</f>
        <v>ROLO</v>
      </c>
      <c r="F177" s="27">
        <f>'APÊNDICE II-MEMÓRIA DE CÁLCULO'!L178</f>
        <v>50</v>
      </c>
      <c r="G177" s="13">
        <f>'APÊNDICE III - MAPA DE PREÇOS'!X177</f>
        <v>10.75</v>
      </c>
      <c r="H177" s="13">
        <f t="shared" si="2"/>
        <v>537.5</v>
      </c>
    </row>
    <row r="178" spans="1:8" ht="132" x14ac:dyDescent="0.3">
      <c r="A178" s="1">
        <v>174</v>
      </c>
      <c r="B178" s="10">
        <f>'APÊNDICE II-MEMÓRIA DE CÁLCULO'!B179</f>
        <v>12441</v>
      </c>
      <c r="C178" s="10">
        <f>'APÊNDICE II-MEMÓRIA DE CÁLCULO'!C179</f>
        <v>445965</v>
      </c>
      <c r="D178" s="11" t="str">
        <f>'APÊNDICE II-MEMÓRIA DE CÁLCULO'!D179</f>
        <v>Malha tubular ortopédica - dimensões: 10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8" s="10" t="str">
        <f>'APÊNDICE II-MEMÓRIA DE CÁLCULO'!E179</f>
        <v>ROLO</v>
      </c>
      <c r="F178" s="27">
        <f>'APÊNDICE II-MEMÓRIA DE CÁLCULO'!L179</f>
        <v>50</v>
      </c>
      <c r="G178" s="13">
        <f>'APÊNDICE III - MAPA DE PREÇOS'!X178</f>
        <v>13.19</v>
      </c>
      <c r="H178" s="13">
        <f t="shared" si="2"/>
        <v>659.5</v>
      </c>
    </row>
    <row r="179" spans="1:8" ht="132" x14ac:dyDescent="0.3">
      <c r="A179" s="1">
        <v>175</v>
      </c>
      <c r="B179" s="10">
        <f>'APÊNDICE II-MEMÓRIA DE CÁLCULO'!B180</f>
        <v>12442</v>
      </c>
      <c r="C179" s="10">
        <f>'APÊNDICE II-MEMÓRIA DE CÁLCULO'!C180</f>
        <v>445969</v>
      </c>
      <c r="D179" s="11" t="str">
        <f>'APÊNDICE II-MEMÓRIA DE CÁLCULO'!D180</f>
        <v>Malha tubular ortopédica - dimensões: 15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9" s="10" t="str">
        <f>'APÊNDICE II-MEMÓRIA DE CÁLCULO'!E180</f>
        <v>ROLO</v>
      </c>
      <c r="F179" s="27">
        <f>'APÊNDICE II-MEMÓRIA DE CÁLCULO'!L180</f>
        <v>50</v>
      </c>
      <c r="G179" s="13">
        <f>'APÊNDICE III - MAPA DE PREÇOS'!X179</f>
        <v>13.95</v>
      </c>
      <c r="H179" s="13">
        <f t="shared" si="2"/>
        <v>697.5</v>
      </c>
    </row>
    <row r="180" spans="1:8" ht="82.5" x14ac:dyDescent="0.3">
      <c r="A180" s="1">
        <v>176</v>
      </c>
      <c r="B180" s="10">
        <f>'APÊNDICE II-MEMÓRIA DE CÁLCULO'!B181</f>
        <v>12443</v>
      </c>
      <c r="C180" s="10">
        <f>'APÊNDICE II-MEMÓRIA DE CÁLCULO'!C181</f>
        <v>470275</v>
      </c>
      <c r="D180" s="11" t="str">
        <f>'APÊNDICE II-MEMÓRIA DE CÁLCULO'!D181</f>
        <v xml:space="preserve">Manta térmica - tipo: aluminizada, material: poliéster metalizado, dimensões mínimas: 2,10 x 1,40 m, uso: isolante térmico indicado para o resgate de pacientes quando for necessário manter o calor do corpo, evitando o choque térmico. </v>
      </c>
      <c r="E180" s="10" t="str">
        <f>'APÊNDICE II-MEMÓRIA DE CÁLCULO'!E181</f>
        <v>UNIDADE</v>
      </c>
      <c r="F180" s="27">
        <f>'APÊNDICE II-MEMÓRIA DE CÁLCULO'!L181</f>
        <v>70</v>
      </c>
      <c r="G180" s="13">
        <f>'APÊNDICE III - MAPA DE PREÇOS'!X180</f>
        <v>11.33</v>
      </c>
      <c r="H180" s="13">
        <f t="shared" si="2"/>
        <v>793.1</v>
      </c>
    </row>
    <row r="181" spans="1:8" ht="165" x14ac:dyDescent="0.3">
      <c r="A181" s="1">
        <v>177</v>
      </c>
      <c r="B181" s="10">
        <f>'APÊNDICE II-MEMÓRIA DE CÁLCULO'!B182</f>
        <v>12444</v>
      </c>
      <c r="C181" s="10" t="str">
        <f>'APÊNDICE II-MEMÓRIA DE CÁLCULO'!C182</f>
        <v>-</v>
      </c>
      <c r="D181" s="11" t="str">
        <f>'APÊNDICE II-MEMÓRIA DE CÁLCULO'!D182</f>
        <v>Máscara com reservatório de não reinalação adulto - 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adulto.</v>
      </c>
      <c r="E181" s="10" t="str">
        <f>'APÊNDICE II-MEMÓRIA DE CÁLCULO'!E182</f>
        <v>UNIDADE</v>
      </c>
      <c r="F181" s="27">
        <f>'APÊNDICE II-MEMÓRIA DE CÁLCULO'!L182</f>
        <v>54</v>
      </c>
      <c r="G181" s="13">
        <f>'APÊNDICE III - MAPA DE PREÇOS'!X181</f>
        <v>16.02</v>
      </c>
      <c r="H181" s="13">
        <f t="shared" si="2"/>
        <v>865.07999999999993</v>
      </c>
    </row>
    <row r="182" spans="1:8" ht="165" x14ac:dyDescent="0.3">
      <c r="A182" s="1">
        <v>178</v>
      </c>
      <c r="B182" s="10">
        <f>'APÊNDICE II-MEMÓRIA DE CÁLCULO'!B183</f>
        <v>12445</v>
      </c>
      <c r="C182" s="10" t="str">
        <f>'APÊNDICE II-MEMÓRIA DE CÁLCULO'!C183</f>
        <v>-</v>
      </c>
      <c r="D182" s="11" t="str">
        <f>'APÊNDICE II-MEMÓRIA DE CÁLCULO'!D183</f>
        <v>Máscara com reservatório de não reinalação infantil -Aplicação: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pediátrico.</v>
      </c>
      <c r="E182" s="10" t="str">
        <f>'APÊNDICE II-MEMÓRIA DE CÁLCULO'!E183</f>
        <v>UNIDADE</v>
      </c>
      <c r="F182" s="27">
        <f>'APÊNDICE II-MEMÓRIA DE CÁLCULO'!L183</f>
        <v>36</v>
      </c>
      <c r="G182" s="13">
        <f>'APÊNDICE III - MAPA DE PREÇOS'!X182</f>
        <v>10.97</v>
      </c>
      <c r="H182" s="13">
        <f t="shared" si="2"/>
        <v>394.92</v>
      </c>
    </row>
    <row r="183" spans="1:8" ht="99" x14ac:dyDescent="0.3">
      <c r="A183" s="1">
        <v>179</v>
      </c>
      <c r="B183" s="10">
        <f>'APÊNDICE II-MEMÓRIA DE CÁLCULO'!B184</f>
        <v>12446</v>
      </c>
      <c r="C183" s="10" t="str">
        <f>'APÊNDICE II-MEMÓRIA DE CÁLCULO'!C184</f>
        <v>-</v>
      </c>
      <c r="D183" s="11" t="str">
        <f>'APÊNDICE II-MEMÓRIA DE CÁLCULO'!D184</f>
        <v>Máscara facial protetora - modelo: face shield, material: pet e polipropileno, esterilidade: esterilizável, características adicionais: com visor transparente, ajustável, com cinta e testeira, tamanho: único, características adicionais: com registro em órgão competente.</v>
      </c>
      <c r="E183" s="10" t="str">
        <f>'APÊNDICE II-MEMÓRIA DE CÁLCULO'!E184</f>
        <v>UNIDADE</v>
      </c>
      <c r="F183" s="27">
        <f>'APÊNDICE II-MEMÓRIA DE CÁLCULO'!L184</f>
        <v>20</v>
      </c>
      <c r="G183" s="13">
        <f>'APÊNDICE III - MAPA DE PREÇOS'!X183</f>
        <v>8.82</v>
      </c>
      <c r="H183" s="13">
        <f t="shared" si="2"/>
        <v>176.4</v>
      </c>
    </row>
    <row r="184" spans="1:8" ht="115.5" x14ac:dyDescent="0.3">
      <c r="A184" s="1">
        <v>180</v>
      </c>
      <c r="B184" s="10">
        <f>'APÊNDICE II-MEMÓRIA DE CÁLCULO'!B185</f>
        <v>12447</v>
      </c>
      <c r="C184" s="10">
        <f>'APÊNDICE II-MEMÓRIA DE CÁLCULO'!C185</f>
        <v>221035</v>
      </c>
      <c r="D184" s="11" t="str">
        <f>'APÊNDICE II-MEMÓRIA DE CÁLCULO'!D185</f>
        <v>Macacão de segurança - tipo: de proteção impermeável, tamanho: médio, material: não-tecido de polipropileno laminado (TNT) impermeáve, características adicionais: confeccionado com zíper na parte frontal, elásticos nos punhos, cintura, tornozelos e capuz, não acompanha máscara, bota e luva, com registro em órgão competente.</v>
      </c>
      <c r="E184" s="10" t="str">
        <f>'APÊNDICE II-MEMÓRIA DE CÁLCULO'!E185</f>
        <v>UNIDADE</v>
      </c>
      <c r="F184" s="27">
        <f>'APÊNDICE II-MEMÓRIA DE CÁLCULO'!L185</f>
        <v>10</v>
      </c>
      <c r="G184" s="13">
        <f>'APÊNDICE III - MAPA DE PREÇOS'!X184</f>
        <v>47.21</v>
      </c>
      <c r="H184" s="13">
        <f t="shared" si="2"/>
        <v>472.1</v>
      </c>
    </row>
    <row r="185" spans="1:8" ht="115.5" x14ac:dyDescent="0.3">
      <c r="A185" s="1">
        <v>181</v>
      </c>
      <c r="B185" s="10">
        <f>'APÊNDICE II-MEMÓRIA DE CÁLCULO'!B186</f>
        <v>12448</v>
      </c>
      <c r="C185" s="10">
        <f>'APÊNDICE II-MEMÓRIA DE CÁLCULO'!C186</f>
        <v>221037</v>
      </c>
      <c r="D185" s="11" t="str">
        <f>'APÊNDICE II-MEMÓRIA DE CÁLCULO'!D186</f>
        <v>Macacão de segurança - tipo: de proteção impermeável, tamanho: grande, material: não-tecido de polipropileno laminado (TNT) impermeáve, características adicionais: confeccionado com zíper na parte frontal, elásticos nos punhos, cintura, tornozelos e capuz, não acompanha máscara, bota e luva, com registro em órgão competente.</v>
      </c>
      <c r="E185" s="10" t="str">
        <f>'APÊNDICE II-MEMÓRIA DE CÁLCULO'!E186</f>
        <v>UNIDADE</v>
      </c>
      <c r="F185" s="27">
        <f>'APÊNDICE II-MEMÓRIA DE CÁLCULO'!L186</f>
        <v>10</v>
      </c>
      <c r="G185" s="13">
        <f>'APÊNDICE III - MAPA DE PREÇOS'!X185</f>
        <v>47.58</v>
      </c>
      <c r="H185" s="13">
        <f t="shared" si="2"/>
        <v>475.79999999999995</v>
      </c>
    </row>
    <row r="186" spans="1:8" ht="115.5" x14ac:dyDescent="0.3">
      <c r="A186" s="1">
        <v>182</v>
      </c>
      <c r="B186" s="10">
        <f>'APÊNDICE II-MEMÓRIA DE CÁLCULO'!B187</f>
        <v>12449</v>
      </c>
      <c r="C186" s="10" t="str">
        <f>'APÊNDICE II-MEMÓRIA DE CÁLCULO'!C187</f>
        <v>-</v>
      </c>
      <c r="D186" s="11" t="str">
        <f>'APÊNDICE II-MEMÓRIA DE CÁLCULO'!D187</f>
        <v>Macacão de segurança - tipo: de proteção impermeável, tamanho: XG, material: não-tecido de polipropileno laminado (TNT) impermeáve, características adicionais: confeccionado com zíper na parte frontal, elásticos nos punhos, cintura, tornozelos e capuz, não acompanha máscara, bota e luva, com registro em órgão competente.</v>
      </c>
      <c r="E186" s="10" t="str">
        <f>'APÊNDICE II-MEMÓRIA DE CÁLCULO'!E187</f>
        <v>UNIDADE</v>
      </c>
      <c r="F186" s="27">
        <f>'APÊNDICE II-MEMÓRIA DE CÁLCULO'!L187</f>
        <v>10</v>
      </c>
      <c r="G186" s="13">
        <f>'APÊNDICE III - MAPA DE PREÇOS'!X186</f>
        <v>44.07</v>
      </c>
      <c r="H186" s="13">
        <f t="shared" si="2"/>
        <v>440.7</v>
      </c>
    </row>
    <row r="187" spans="1:8" ht="49.5" x14ac:dyDescent="0.3">
      <c r="A187" s="1">
        <v>183</v>
      </c>
      <c r="B187" s="10">
        <f>'APÊNDICE II-MEMÓRIA DE CÁLCULO'!B188</f>
        <v>12450</v>
      </c>
      <c r="C187" s="10">
        <f>'APÊNDICE II-MEMÓRIA DE CÁLCULO'!C188</f>
        <v>403572</v>
      </c>
      <c r="D187" s="11" t="str">
        <f>'APÊNDICE II-MEMÓRIA DE CÁLCULO'!D188</f>
        <v>Maca de resgate - tipo: prancha, material: polietileno, capacidade de carga: até 120 KG, componentes: com cintos, pegadores amplos, rígida, leve e confortável.</v>
      </c>
      <c r="E187" s="10" t="str">
        <f>'APÊNDICE II-MEMÓRIA DE CÁLCULO'!E188</f>
        <v>UNIDADE</v>
      </c>
      <c r="F187" s="27">
        <f>'APÊNDICE II-MEMÓRIA DE CÁLCULO'!L188</f>
        <v>3</v>
      </c>
      <c r="G187" s="13">
        <f>'APÊNDICE III - MAPA DE PREÇOS'!X187</f>
        <v>440.09</v>
      </c>
      <c r="H187" s="13">
        <f t="shared" si="2"/>
        <v>1320.27</v>
      </c>
    </row>
    <row r="188" spans="1:8" ht="82.5" x14ac:dyDescent="0.3">
      <c r="A188" s="1">
        <v>184</v>
      </c>
      <c r="B188" s="10">
        <f>'APÊNDICE II-MEMÓRIA DE CÁLCULO'!B189</f>
        <v>12451</v>
      </c>
      <c r="C188" s="10">
        <f>'APÊNDICE II-MEMÓRIA DE CÁLCULO'!C189</f>
        <v>411867</v>
      </c>
      <c r="D188" s="11" t="str">
        <f>'APÊNDICE II-MEMÓRIA DE CÁLCULO'!D189</f>
        <v xml:space="preserve">Maca de resgate - tipo: prancha, material: polietileno, capacidade de carga: mínimo de 150 KG, componentes: com cintos, pegadores amplos, rígida, leve e confortável, dimensões mínimas: 40 cm de largura. </v>
      </c>
      <c r="E188" s="10" t="str">
        <f>'APÊNDICE II-MEMÓRIA DE CÁLCULO'!E189</f>
        <v>UNIDADE</v>
      </c>
      <c r="F188" s="27">
        <f>'APÊNDICE II-MEMÓRIA DE CÁLCULO'!L189</f>
        <v>3</v>
      </c>
      <c r="G188" s="13">
        <f>'APÊNDICE III - MAPA DE PREÇOS'!X188</f>
        <v>514.20000000000005</v>
      </c>
      <c r="H188" s="13">
        <f t="shared" si="2"/>
        <v>1542.6000000000001</v>
      </c>
    </row>
    <row r="189" spans="1:8" ht="66" x14ac:dyDescent="0.3">
      <c r="A189" s="1">
        <v>185</v>
      </c>
      <c r="B189" s="10">
        <f>'APÊNDICE II-MEMÓRIA DE CÁLCULO'!B190</f>
        <v>12452</v>
      </c>
      <c r="C189" s="10">
        <f>'APÊNDICE II-MEMÓRIA DE CÁLCULO'!C190</f>
        <v>244064</v>
      </c>
      <c r="D189" s="11" t="str">
        <f>'APÊNDICE II-MEMÓRIA DE CÁLCULO'!D190</f>
        <v xml:space="preserve">Óculos para proteção individual - cor da lente: incolor (transparente), material: em acrílico cristal (incolor), características adicionais: resistente a desinfecções, que permita boa visibilidade, haste dobráveis. </v>
      </c>
      <c r="E189" s="10" t="str">
        <f>'APÊNDICE II-MEMÓRIA DE CÁLCULO'!E190</f>
        <v>UNIDADE</v>
      </c>
      <c r="F189" s="27">
        <f>'APÊNDICE II-MEMÓRIA DE CÁLCULO'!L190</f>
        <v>10</v>
      </c>
      <c r="G189" s="13">
        <f>'APÊNDICE III - MAPA DE PREÇOS'!X189</f>
        <v>2.92</v>
      </c>
      <c r="H189" s="13">
        <f t="shared" si="2"/>
        <v>29.2</v>
      </c>
    </row>
    <row r="190" spans="1:8" ht="66" x14ac:dyDescent="0.3">
      <c r="A190" s="1">
        <v>186</v>
      </c>
      <c r="B190" s="10">
        <f>'APÊNDICE II-MEMÓRIA DE CÁLCULO'!B191</f>
        <v>12453</v>
      </c>
      <c r="C190" s="10">
        <f>'APÊNDICE II-MEMÓRIA DE CÁLCULO'!C191</f>
        <v>150685</v>
      </c>
      <c r="D190" s="11" t="str">
        <f>'APÊNDICE II-MEMÓRIA DE CÁLCULO'!D191</f>
        <v xml:space="preserve">Oxímetro digital - tipo: portátil, tipo uso: neonatal, características adicionais: medidor de pulsação, oxigenação e saturação no sangue, alimentado por pilha, de baixo consumo, visor em LED. </v>
      </c>
      <c r="E190" s="10" t="str">
        <f>'APÊNDICE II-MEMÓRIA DE CÁLCULO'!E191</f>
        <v>UNIDADE</v>
      </c>
      <c r="F190" s="27">
        <f>'APÊNDICE II-MEMÓRIA DE CÁLCULO'!L191</f>
        <v>30</v>
      </c>
      <c r="G190" s="13">
        <f>'APÊNDICE III - MAPA DE PREÇOS'!X190</f>
        <v>87.04</v>
      </c>
      <c r="H190" s="13">
        <f t="shared" si="2"/>
        <v>2611.2000000000003</v>
      </c>
    </row>
    <row r="191" spans="1:8" ht="82.5" x14ac:dyDescent="0.3">
      <c r="A191" s="1">
        <v>187</v>
      </c>
      <c r="B191" s="10">
        <f>'APÊNDICE II-MEMÓRIA DE CÁLCULO'!B192</f>
        <v>12454</v>
      </c>
      <c r="C191" s="10">
        <f>'APÊNDICE II-MEMÓRIA DE CÁLCULO'!C192</f>
        <v>224806</v>
      </c>
      <c r="D191" s="11" t="str">
        <f>'APÊNDICE II-MEMÓRIA DE CÁLCULO'!D192</f>
        <v xml:space="preserve">Oxímetro digital de pulso - tipo: portátil, características adicionais: medidor de pulsação e oxigenação, alimentado por pilha, de baixo consumo, acompanha capa protetora em silicone e estojo para armazenamento, visor em LED. </v>
      </c>
      <c r="E191" s="10" t="str">
        <f>'APÊNDICE II-MEMÓRIA DE CÁLCULO'!E192</f>
        <v>UNIDADE</v>
      </c>
      <c r="F191" s="27">
        <f>'APÊNDICE II-MEMÓRIA DE CÁLCULO'!L192</f>
        <v>20</v>
      </c>
      <c r="G191" s="13">
        <f>'APÊNDICE III - MAPA DE PREÇOS'!X191</f>
        <v>74.73</v>
      </c>
      <c r="H191" s="13">
        <f t="shared" ref="H191:H253" si="3">F191*G191</f>
        <v>1494.6000000000001</v>
      </c>
    </row>
    <row r="192" spans="1:8" ht="66" x14ac:dyDescent="0.3">
      <c r="A192" s="1">
        <v>188</v>
      </c>
      <c r="B192" s="10">
        <f>'APÊNDICE II-MEMÓRIA DE CÁLCULO'!B193</f>
        <v>12455</v>
      </c>
      <c r="C192" s="10">
        <f>'APÊNDICE II-MEMÓRIA DE CÁLCULO'!C193</f>
        <v>467833</v>
      </c>
      <c r="D192" s="11" t="str">
        <f>'APÊNDICE II-MEMÓRIA DE CÁLCULO'!D193</f>
        <v>Pinça cirúrgica - modelo: Kelly, comprimento total: 14 cm, material: aço inoxidável, formato da ponta: reta, com serrilha, características adicionais: esterilizável, com registro ANVISA.</v>
      </c>
      <c r="E192" s="10" t="str">
        <f>'APÊNDICE II-MEMÓRIA DE CÁLCULO'!E193</f>
        <v>UNIDADE</v>
      </c>
      <c r="F192" s="27">
        <f>'APÊNDICE II-MEMÓRIA DE CÁLCULO'!L193</f>
        <v>10</v>
      </c>
      <c r="G192" s="13">
        <f>'APÊNDICE III - MAPA DE PREÇOS'!X192</f>
        <v>32.79</v>
      </c>
      <c r="H192" s="13">
        <f t="shared" si="3"/>
        <v>327.9</v>
      </c>
    </row>
    <row r="193" spans="1:8" ht="115.5" x14ac:dyDescent="0.3">
      <c r="A193" s="1">
        <v>189</v>
      </c>
      <c r="B193" s="10">
        <f>'APÊNDICE II-MEMÓRIA DE CÁLCULO'!B194</f>
        <v>12456</v>
      </c>
      <c r="C193" s="10">
        <f>'APÊNDICE II-MEMÓRIA DE CÁLCULO'!C194</f>
        <v>467747</v>
      </c>
      <c r="D193" s="11" t="str">
        <f>'APÊNDICE II-MEMÓRIA DE CÁLCULO'!D194</f>
        <v xml:space="preserve">Pinça anatômica - modelo: dissecção, comprimento total: cerca de 18 cm, material: em aço inoxidável 304, formato da ponta: ponta reta serrilhada, esterilidade: esterilizável, características: para uso geral, embalagem contendo externamente dados de identificação,  procedência, lote, e registro em orgão competente. </v>
      </c>
      <c r="E193" s="10" t="str">
        <f>'APÊNDICE II-MEMÓRIA DE CÁLCULO'!E194</f>
        <v>UNIDADE</v>
      </c>
      <c r="F193" s="27">
        <f>'APÊNDICE II-MEMÓRIA DE CÁLCULO'!L194</f>
        <v>10</v>
      </c>
      <c r="G193" s="13">
        <f>'APÊNDICE III - MAPA DE PREÇOS'!X193</f>
        <v>38.11</v>
      </c>
      <c r="H193" s="13">
        <f t="shared" si="3"/>
        <v>381.1</v>
      </c>
    </row>
    <row r="194" spans="1:8" ht="66" x14ac:dyDescent="0.3">
      <c r="A194" s="1">
        <v>190</v>
      </c>
      <c r="B194" s="10">
        <f>'APÊNDICE II-MEMÓRIA DE CÁLCULO'!B195</f>
        <v>12457</v>
      </c>
      <c r="C194" s="10">
        <f>'APÊNDICE II-MEMÓRIA DE CÁLCULO'!C195</f>
        <v>364041</v>
      </c>
      <c r="D194" s="11" t="str">
        <f>'APÊNDICE II-MEMÓRIA DE CÁLCULO'!D195</f>
        <v>Pulseira para identificação - aplicação: recém nascido, material: plástico macio, resistente e antialérgico, características adicionais: com lacre inviolável, descartável.</v>
      </c>
      <c r="E194" s="10" t="str">
        <f>'APÊNDICE II-MEMÓRIA DE CÁLCULO'!E195</f>
        <v>UNIDADE</v>
      </c>
      <c r="F194" s="27">
        <f>'APÊNDICE II-MEMÓRIA DE CÁLCULO'!L195</f>
        <v>100</v>
      </c>
      <c r="G194" s="13">
        <f>'APÊNDICE III - MAPA DE PREÇOS'!X194</f>
        <v>0.84</v>
      </c>
      <c r="H194" s="13">
        <f t="shared" si="3"/>
        <v>84</v>
      </c>
    </row>
    <row r="195" spans="1:8" ht="165" x14ac:dyDescent="0.3">
      <c r="A195" s="1">
        <v>191</v>
      </c>
      <c r="B195" s="10">
        <f>'APÊNDICE II-MEMÓRIA DE CÁLCULO'!B196</f>
        <v>12458</v>
      </c>
      <c r="C195" s="10" t="str">
        <f>'APÊNDICE II-MEMÓRIA DE CÁLCULO'!C196</f>
        <v>-</v>
      </c>
      <c r="D195" s="11" t="str">
        <f>'APÊNDICE II-MEMÓRIA DE CÁLCULO'!D196</f>
        <v>Perfurador de membrana amniótica - material: plástico resistente, dimensões mínimas: 25 cm de comprimento, esterelidade: estéril, descartável, características adicionais: embalagem individual em papel grau cirúrgico ou filme termoplástico confeccionada sem rebarbas no acabamento, embalagem individual em papel grau cirúrgico, esterilizado a óxido de etileno. Embalagem contendo dados de identificação, procedência, lote, validade e registro em órgão competente.</v>
      </c>
      <c r="E195" s="10" t="str">
        <f>'APÊNDICE II-MEMÓRIA DE CÁLCULO'!E196</f>
        <v>UNIDADE</v>
      </c>
      <c r="F195" s="27">
        <f>'APÊNDICE II-MEMÓRIA DE CÁLCULO'!L196</f>
        <v>100</v>
      </c>
      <c r="G195" s="13">
        <f>'APÊNDICE III - MAPA DE PREÇOS'!X195</f>
        <v>2.4300000000000002</v>
      </c>
      <c r="H195" s="13">
        <f t="shared" si="3"/>
        <v>243.00000000000003</v>
      </c>
    </row>
    <row r="196" spans="1:8" ht="99" x14ac:dyDescent="0.3">
      <c r="A196" s="1">
        <v>192</v>
      </c>
      <c r="B196" s="10">
        <f>'APÊNDICE II-MEMÓRIA DE CÁLCULO'!B197</f>
        <v>12459</v>
      </c>
      <c r="C196" s="10" t="str">
        <f>'APÊNDICE II-MEMÓRIA DE CÁLCULO'!C197</f>
        <v>-</v>
      </c>
      <c r="D196" s="11" t="str">
        <f>'APÊNDICE II-MEMÓRIA DE CÁLCULO'!D197</f>
        <v xml:space="preserve">Papel termossensível - aplicação: ECG, dimensões: 58mm x 30m, características adicionais: ccom escala própria, para o registro e adaptação no monitor cardiográfico. Em embalagem contendo externamente dados de identificação, procedência, data e registro em órgão competente. </v>
      </c>
      <c r="E196" s="10" t="str">
        <f>'APÊNDICE II-MEMÓRIA DE CÁLCULO'!E197</f>
        <v>UNIDADE</v>
      </c>
      <c r="F196" s="27">
        <f>'APÊNDICE II-MEMÓRIA DE CÁLCULO'!L197</f>
        <v>50</v>
      </c>
      <c r="G196" s="13">
        <f>'APÊNDICE III - MAPA DE PREÇOS'!X196</f>
        <v>9.17</v>
      </c>
      <c r="H196" s="13">
        <f t="shared" si="3"/>
        <v>458.5</v>
      </c>
    </row>
    <row r="197" spans="1:8" ht="99" x14ac:dyDescent="0.3">
      <c r="A197" s="1">
        <v>193</v>
      </c>
      <c r="B197" s="10">
        <f>'APÊNDICE II-MEMÓRIA DE CÁLCULO'!B198</f>
        <v>12460</v>
      </c>
      <c r="C197" s="10" t="str">
        <f>'APÊNDICE II-MEMÓRIA DE CÁLCULO'!C198</f>
        <v>-</v>
      </c>
      <c r="D197" s="11" t="str">
        <f>'APÊNDICE II-MEMÓRIA DE CÁLCULO'!D198</f>
        <v xml:space="preserve">Papel termossensível - aplicação: ECG, dimensões: 80mm x 30m, características adicionais: ccom escala própria, para o registro e adaptação no monitor cardiográfico. Em embalagem contendo externamente dados de identificação, procedência, data e registro em órgão competente. </v>
      </c>
      <c r="E197" s="10" t="str">
        <f>'APÊNDICE II-MEMÓRIA DE CÁLCULO'!E198</f>
        <v>UNIDADE</v>
      </c>
      <c r="F197" s="27">
        <f>'APÊNDICE II-MEMÓRIA DE CÁLCULO'!L198</f>
        <v>100</v>
      </c>
      <c r="G197" s="13">
        <f>'APÊNDICE III - MAPA DE PREÇOS'!X197</f>
        <v>12.99</v>
      </c>
      <c r="H197" s="13">
        <f t="shared" si="3"/>
        <v>1299</v>
      </c>
    </row>
    <row r="198" spans="1:8" ht="198" x14ac:dyDescent="0.3">
      <c r="A198" s="1">
        <v>194</v>
      </c>
      <c r="B198" s="10">
        <f>'APÊNDICE II-MEMÓRIA DE CÁLCULO'!B199</f>
        <v>12461</v>
      </c>
      <c r="C198" s="10" t="str">
        <f>'APÊNDICE II-MEMÓRIA DE CÁLCULO'!C199</f>
        <v>-</v>
      </c>
      <c r="D198" s="11" t="str">
        <f>'APÊNDICE II-MEMÓRIA DE CÁLCULO'!D199</f>
        <v>Papel grau cirúrgico, 100mm x 100m - embalagem tubular para esterilização, embalagem tubular descartável termoselável para esterilização de material médico-hospitalar em autoclave a vapor ou óxido de etileno medindo 100mm x100 m em dupla face, sendo uma das faces em papel grau cirúrgico, isento de furos, rasgos, rugas, manchas, substâncias tóxicas, corantes, odores desagradáveis quando úmido ou seco, resistência ao calor em ambas as faces até 140ºC a embalagem deve apresentar número de lote impresso, número de registro na ANVISA, data de fabricação, validade, nome do fabricante.</v>
      </c>
      <c r="E198" s="10" t="str">
        <f>'APÊNDICE II-MEMÓRIA DE CÁLCULO'!E199</f>
        <v>ROLO</v>
      </c>
      <c r="F198" s="27">
        <f>'APÊNDICE II-MEMÓRIA DE CÁLCULO'!L199</f>
        <v>20</v>
      </c>
      <c r="G198" s="13">
        <f>'APÊNDICE III - MAPA DE PREÇOS'!X198</f>
        <v>57.39</v>
      </c>
      <c r="H198" s="13">
        <f t="shared" si="3"/>
        <v>1147.8</v>
      </c>
    </row>
    <row r="199" spans="1:8" ht="198" x14ac:dyDescent="0.3">
      <c r="A199" s="1">
        <v>195</v>
      </c>
      <c r="B199" s="10">
        <f>'APÊNDICE II-MEMÓRIA DE CÁLCULO'!B200</f>
        <v>6323</v>
      </c>
      <c r="C199" s="10" t="str">
        <f>'APÊNDICE II-MEMÓRIA DE CÁLCULO'!C200</f>
        <v>-</v>
      </c>
      <c r="D199" s="11" t="str">
        <f>'APÊNDICE II-MEMÓRIA DE CÁLCULO'!D200</f>
        <v>Papel grau cirúrgico, 150mm x 100m - embalagem tubular para esterilização, embalagem tubular descartável termoselável para esterilização de material médico-hospitalar em autoclave a vapor ou óxido de etileno medindo 150mm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numero de registro na ANVISA, data de fabricação, validade, nome do fabricante.</v>
      </c>
      <c r="E199" s="10" t="str">
        <f>'APÊNDICE II-MEMÓRIA DE CÁLCULO'!E200</f>
        <v>ROLO</v>
      </c>
      <c r="F199" s="27">
        <f>'APÊNDICE II-MEMÓRIA DE CÁLCULO'!L200</f>
        <v>29</v>
      </c>
      <c r="G199" s="13">
        <f>'APÊNDICE III - MAPA DE PREÇOS'!X199</f>
        <v>87.61</v>
      </c>
      <c r="H199" s="13">
        <f t="shared" si="3"/>
        <v>2540.69</v>
      </c>
    </row>
    <row r="200" spans="1:8" ht="198" x14ac:dyDescent="0.3">
      <c r="A200" s="1">
        <v>196</v>
      </c>
      <c r="B200" s="10">
        <f>'APÊNDICE II-MEMÓRIA DE CÁLCULO'!B201</f>
        <v>12463</v>
      </c>
      <c r="C200" s="10" t="str">
        <f>'APÊNDICE II-MEMÓRIA DE CÁLCULO'!C201</f>
        <v>-</v>
      </c>
      <c r="D200" s="11" t="str">
        <f>'APÊNDICE II-MEMÓRIA DE CÁLCULO'!D201</f>
        <v>Papel grau cirúrgico 250mm x 100m - embalagem tubular para esterilização, embalagem tubular descartável termoselável para esterilização de material médico-hospitalar em autoclave a vapor ou óxido de etileno medindo 250mm x 100m em dupla face, sendo uma das faces em papel grau cirúrgico, isento de furos, rasgos, rugas, manchas, substâncias tóxicas, corantes, odores desagradáveis quando úmido ou seco, resistência ao calor em ambas as faces até 140º c. a embalagem deve apresentar numero de lote impresso, número de registro na ANVISA, data de fabricação, validade, nome do fabricante.</v>
      </c>
      <c r="E200" s="10" t="str">
        <f>'APÊNDICE II-MEMÓRIA DE CÁLCULO'!E201</f>
        <v>ROLO</v>
      </c>
      <c r="F200" s="27">
        <f>'APÊNDICE II-MEMÓRIA DE CÁLCULO'!L201</f>
        <v>50</v>
      </c>
      <c r="G200" s="13">
        <f>'APÊNDICE III - MAPA DE PREÇOS'!X200</f>
        <v>164.88</v>
      </c>
      <c r="H200" s="13">
        <f t="shared" si="3"/>
        <v>8244</v>
      </c>
    </row>
    <row r="201" spans="1:8" ht="181.5" x14ac:dyDescent="0.3">
      <c r="A201" s="1">
        <v>197</v>
      </c>
      <c r="B201" s="10">
        <f>'APÊNDICE II-MEMÓRIA DE CÁLCULO'!B202</f>
        <v>12464</v>
      </c>
      <c r="C201" s="10" t="str">
        <f>'APÊNDICE II-MEMÓRIA DE CÁLCULO'!C202</f>
        <v>-</v>
      </c>
      <c r="D201" s="11" t="str">
        <f>'APÊNDICE II-MEMÓRIA DE CÁLCULO'!D202</f>
        <v>Papel grau cirúrgico, 300 mm x 100m - embalagem tubular descartável termoselável para esterilização de material médico-hospitalar em autoclave a vapor ou óxido de etileno medindo 300mm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número de registro na ANVISA, data de fabricação, validade, nome do fabricante.</v>
      </c>
      <c r="E201" s="10" t="str">
        <f>'APÊNDICE II-MEMÓRIA DE CÁLCULO'!E202</f>
        <v>ROLO</v>
      </c>
      <c r="F201" s="27">
        <f>'APÊNDICE II-MEMÓRIA DE CÁLCULO'!L202</f>
        <v>12</v>
      </c>
      <c r="G201" s="13">
        <f>'APÊNDICE III - MAPA DE PREÇOS'!X201</f>
        <v>170.7</v>
      </c>
      <c r="H201" s="13">
        <f t="shared" si="3"/>
        <v>2048.3999999999996</v>
      </c>
    </row>
    <row r="202" spans="1:8" ht="99" x14ac:dyDescent="0.3">
      <c r="A202" s="1">
        <v>198</v>
      </c>
      <c r="B202" s="10">
        <f>'APÊNDICE II-MEMÓRIA DE CÁLCULO'!B203</f>
        <v>12465</v>
      </c>
      <c r="C202" s="10">
        <f>'APÊNDICE II-MEMÓRIA DE CÁLCULO'!C203</f>
        <v>467850</v>
      </c>
      <c r="D202" s="11" t="str">
        <f>'APÊNDICE II-MEMÓRIA DE CÁLCULO'!D203</f>
        <v>Pinça cirúrgica - modelo: crile, formato ponta: curva, tamanho: 16 cm, material: aço inoxidável AISI-420. esterilidade: esterilizável, características adicionais: embalagem plástica individual, constando os dados de identificação, procedência, rastreabilidade e registro em órgão competente.</v>
      </c>
      <c r="E202" s="10" t="str">
        <f>'APÊNDICE II-MEMÓRIA DE CÁLCULO'!E203</f>
        <v>UNIDADE</v>
      </c>
      <c r="F202" s="27">
        <f>'APÊNDICE II-MEMÓRIA DE CÁLCULO'!L203</f>
        <v>5</v>
      </c>
      <c r="G202" s="13">
        <f>'APÊNDICE III - MAPA DE PREÇOS'!X202</f>
        <v>34.049999999999997</v>
      </c>
      <c r="H202" s="13">
        <f t="shared" si="3"/>
        <v>170.25</v>
      </c>
    </row>
    <row r="203" spans="1:8" ht="99" x14ac:dyDescent="0.3">
      <c r="A203" s="1">
        <v>199</v>
      </c>
      <c r="B203" s="10">
        <f>'APÊNDICE II-MEMÓRIA DE CÁLCULO'!B204</f>
        <v>12466</v>
      </c>
      <c r="C203" s="10">
        <f>'APÊNDICE II-MEMÓRIA DE CÁLCULO'!C204</f>
        <v>467845</v>
      </c>
      <c r="D203" s="11" t="str">
        <f>'APÊNDICE II-MEMÓRIA DE CÁLCULO'!D204</f>
        <v>Pinça cirúrgica - modelo: crile, formato ponta: reta, tamanho: 16 cm, material: aço inoxidável AISI-420. esterilidade: esterilizável, características adicionais: embalagem plástica individual, constando os dados de identificação, procedência, rastreabilidade e registro em órgão competente.</v>
      </c>
      <c r="E203" s="10" t="str">
        <f>'APÊNDICE II-MEMÓRIA DE CÁLCULO'!E204</f>
        <v>UNIDADE</v>
      </c>
      <c r="F203" s="27">
        <f>'APÊNDICE II-MEMÓRIA DE CÁLCULO'!L204</f>
        <v>5</v>
      </c>
      <c r="G203" s="13">
        <f>'APÊNDICE III - MAPA DE PREÇOS'!X203</f>
        <v>37.11</v>
      </c>
      <c r="H203" s="13">
        <f t="shared" si="3"/>
        <v>185.55</v>
      </c>
    </row>
    <row r="204" spans="1:8" ht="99" x14ac:dyDescent="0.3">
      <c r="A204" s="1">
        <v>200</v>
      </c>
      <c r="B204" s="10">
        <f>'APÊNDICE II-MEMÓRIA DE CÁLCULO'!B205</f>
        <v>12468</v>
      </c>
      <c r="C204" s="10">
        <f>'APÊNDICE II-MEMÓRIA DE CÁLCULO'!C205</f>
        <v>467834</v>
      </c>
      <c r="D204" s="11" t="str">
        <f>'APÊNDICE II-MEMÓRIA DE CÁLCULO'!D205</f>
        <v>Pinça cirúrgica - modelo: Kelly, formato ponta: reta, tamanho: 16 cm, material: aço inoxidável AISI-420. esterilidade: esterilizável, características adicionais: embalagem plástica individual, constando os dados de identificação, procedência, rastreabilidade e registro em órgão competente.</v>
      </c>
      <c r="E204" s="10" t="str">
        <f>'APÊNDICE II-MEMÓRIA DE CÁLCULO'!E205</f>
        <v>UNIDADE</v>
      </c>
      <c r="F204" s="27">
        <f>'APÊNDICE II-MEMÓRIA DE CÁLCULO'!L205</f>
        <v>5</v>
      </c>
      <c r="G204" s="13">
        <f>'APÊNDICE III - MAPA DE PREÇOS'!X204</f>
        <v>44.2</v>
      </c>
      <c r="H204" s="13">
        <f t="shared" si="3"/>
        <v>221</v>
      </c>
    </row>
    <row r="205" spans="1:8" ht="99" x14ac:dyDescent="0.3">
      <c r="A205" s="1">
        <v>201</v>
      </c>
      <c r="B205" s="10">
        <f>'APÊNDICE II-MEMÓRIA DE CÁLCULO'!B206</f>
        <v>12467</v>
      </c>
      <c r="C205" s="10">
        <f>'APÊNDICE II-MEMÓRIA DE CÁLCULO'!C206</f>
        <v>467839</v>
      </c>
      <c r="D205" s="11" t="str">
        <f>'APÊNDICE II-MEMÓRIA DE CÁLCULO'!D206</f>
        <v>Pinça cirúrgica - modelo: Kelly, formato ponta: curva, tamanho: 16 cm, material: aço inoxidável AISI-420. esterilidade: esterilizável, características adicionais: embalagem plástica individual, constando os dados de identificação, procedência, rastreabilidade e registro em órgão competente.</v>
      </c>
      <c r="E205" s="10" t="str">
        <f>'APÊNDICE II-MEMÓRIA DE CÁLCULO'!E206</f>
        <v>UNIDADE</v>
      </c>
      <c r="F205" s="27">
        <f>'APÊNDICE II-MEMÓRIA DE CÁLCULO'!L206</f>
        <v>5</v>
      </c>
      <c r="G205" s="13">
        <f>'APÊNDICE III - MAPA DE PREÇOS'!X205</f>
        <v>38.49</v>
      </c>
      <c r="H205" s="13">
        <f t="shared" si="3"/>
        <v>192.45000000000002</v>
      </c>
    </row>
    <row r="206" spans="1:8" ht="115.5" x14ac:dyDescent="0.3">
      <c r="A206" s="1">
        <v>202</v>
      </c>
      <c r="B206" s="10">
        <f>'APÊNDICE II-MEMÓRIA DE CÁLCULO'!B207</f>
        <v>12469</v>
      </c>
      <c r="C206" s="10">
        <f>'APÊNDICE II-MEMÓRIA DE CÁLCULO'!C207</f>
        <v>467987</v>
      </c>
      <c r="D206" s="11" t="str">
        <f>'APÊNDICE II-MEMÓRIA DE CÁLCULO'!D207</f>
        <v>Pinça anatômica - modelo: dissecção, formato ponta: reta serrilhada, tamanho: 12 cm, material: aço inoxidável AISI-420. esterilidade: esterilizável, características adicionais: embalagem plástica individual, constando os dados de identificação, procedência, rastreabilidade e registro em órgão competente.</v>
      </c>
      <c r="E206" s="10" t="str">
        <f>'APÊNDICE II-MEMÓRIA DE CÁLCULO'!E207</f>
        <v>UNIDADE</v>
      </c>
      <c r="F206" s="27">
        <f>'APÊNDICE II-MEMÓRIA DE CÁLCULO'!L207</f>
        <v>5</v>
      </c>
      <c r="G206" s="13">
        <f>'APÊNDICE III - MAPA DE PREÇOS'!X206</f>
        <v>19.8</v>
      </c>
      <c r="H206" s="13">
        <f t="shared" si="3"/>
        <v>99</v>
      </c>
    </row>
    <row r="207" spans="1:8" ht="115.5" x14ac:dyDescent="0.3">
      <c r="A207" s="1">
        <v>203</v>
      </c>
      <c r="B207" s="10">
        <f>'APÊNDICE II-MEMÓRIA DE CÁLCULO'!B208</f>
        <v>12470</v>
      </c>
      <c r="C207" s="10">
        <f>'APÊNDICE II-MEMÓRIA DE CÁLCULO'!C208</f>
        <v>467746</v>
      </c>
      <c r="D207" s="11" t="str">
        <f>'APÊNDICE II-MEMÓRIA DE CÁLCULO'!D208</f>
        <v>Pinça anatômica, modelo: dissecção, formato ponta: reta serrilhada, tamanho: 16 cm, material: aço inoxidável AISI-420. esterilidade: esterilizável, características adicionais: embalagem plástica individual, constando os dados de identificação, procedência, rastreabilidade e registro em órgão competente.</v>
      </c>
      <c r="E207" s="10" t="str">
        <f>'APÊNDICE II-MEMÓRIA DE CÁLCULO'!E208</f>
        <v>UNIDADE</v>
      </c>
      <c r="F207" s="27">
        <f>'APÊNDICE II-MEMÓRIA DE CÁLCULO'!L208</f>
        <v>5</v>
      </c>
      <c r="G207" s="13">
        <f>'APÊNDICE III - MAPA DE PREÇOS'!X207</f>
        <v>22.85</v>
      </c>
      <c r="H207" s="13">
        <f t="shared" si="3"/>
        <v>114.25</v>
      </c>
    </row>
    <row r="208" spans="1:8" ht="115.5" x14ac:dyDescent="0.3">
      <c r="A208" s="1">
        <v>204</v>
      </c>
      <c r="B208" s="10">
        <f>'APÊNDICE II-MEMÓRIA DE CÁLCULO'!B209</f>
        <v>12471</v>
      </c>
      <c r="C208" s="10">
        <f>'APÊNDICE II-MEMÓRIA DE CÁLCULO'!C209</f>
        <v>475453</v>
      </c>
      <c r="D208" s="11" t="str">
        <f>'APÊNDICE II-MEMÓRIA DE CÁLCULO'!D209</f>
        <v>Pinça cirúrgica - modelo: mosquito, formato ponta: curva, tamanho: 10 cm, material: aço inoxidável AISI-420, esterilidade: esterilizável, características adicionais: possui travas para mantê-la fechada, embalagem plástica individual, constando os dados de identificação, procedência, rastreabilidade e registro em órgão competente.</v>
      </c>
      <c r="E208" s="10" t="str">
        <f>'APÊNDICE II-MEMÓRIA DE CÁLCULO'!E209</f>
        <v>UNIDADE</v>
      </c>
      <c r="F208" s="27">
        <f>'APÊNDICE II-MEMÓRIA DE CÁLCULO'!L209</f>
        <v>5</v>
      </c>
      <c r="G208" s="13">
        <f>'APÊNDICE III - MAPA DE PREÇOS'!X208</f>
        <v>35.57</v>
      </c>
      <c r="H208" s="13">
        <f t="shared" si="3"/>
        <v>177.85</v>
      </c>
    </row>
    <row r="209" spans="1:8" ht="115.5" x14ac:dyDescent="0.3">
      <c r="A209" s="1">
        <v>205</v>
      </c>
      <c r="B209" s="10">
        <f>'APÊNDICE II-MEMÓRIA DE CÁLCULO'!B210</f>
        <v>12472</v>
      </c>
      <c r="C209" s="10">
        <f>'APÊNDICE II-MEMÓRIA DE CÁLCULO'!C210</f>
        <v>475452</v>
      </c>
      <c r="D209" s="11" t="str">
        <f>'APÊNDICE II-MEMÓRIA DE CÁLCULO'!D210</f>
        <v>Pinça cirúrgica - modelo: mosquito, formato ponta: reta, tamanho: 10 cm, material: aço inoxidável AISI-420, esterilidade: esterilizável, características adicionais: possui travas para mantê-la fechada, embalagem plástica individual, constando os dados de identificação, procedência, rastreabilidade e registro em órgão competente.</v>
      </c>
      <c r="E209" s="10" t="str">
        <f>'APÊNDICE II-MEMÓRIA DE CÁLCULO'!E210</f>
        <v>UNIDADE</v>
      </c>
      <c r="F209" s="27">
        <f>'APÊNDICE II-MEMÓRIA DE CÁLCULO'!L210</f>
        <v>5</v>
      </c>
      <c r="G209" s="13">
        <f>'APÊNDICE III - MAPA DE PREÇOS'!X209</f>
        <v>39.11</v>
      </c>
      <c r="H209" s="13">
        <f t="shared" si="3"/>
        <v>195.55</v>
      </c>
    </row>
    <row r="210" spans="1:8" ht="99" x14ac:dyDescent="0.3">
      <c r="A210" s="1">
        <v>206</v>
      </c>
      <c r="B210" s="10">
        <f>'APÊNDICE II-MEMÓRIA DE CÁLCULO'!B211</f>
        <v>12473</v>
      </c>
      <c r="C210" s="10">
        <f>'APÊNDICE II-MEMÓRIA DE CÁLCULO'!C211</f>
        <v>467862</v>
      </c>
      <c r="D210" s="11" t="str">
        <f>'APÊNDICE II-MEMÓRIA DE CÁLCULO'!D211</f>
        <v>Pinça cirúrgica - modelo: Magil, formato ponta: retas e serrilhadas, tamanho: 20 cm, material: aço inoxidável AISI-420, esterilidade: esterilizável, características adicionais: embalagem plástica individual, constando os dados de identificação, procedência, rastreabilidade e registro em órgão competente.</v>
      </c>
      <c r="E210" s="10" t="str">
        <f>'APÊNDICE II-MEMÓRIA DE CÁLCULO'!E211</f>
        <v>UNIDADE</v>
      </c>
      <c r="F210" s="27">
        <f>'APÊNDICE II-MEMÓRIA DE CÁLCULO'!L211</f>
        <v>5</v>
      </c>
      <c r="G210" s="13">
        <f>'APÊNDICE III - MAPA DE PREÇOS'!X210</f>
        <v>97.62</v>
      </c>
      <c r="H210" s="13">
        <f t="shared" si="3"/>
        <v>488.1</v>
      </c>
    </row>
    <row r="211" spans="1:8" ht="99" x14ac:dyDescent="0.3">
      <c r="A211" s="1">
        <v>207</v>
      </c>
      <c r="B211" s="10">
        <f>'APÊNDICE II-MEMÓRIA DE CÁLCULO'!B212</f>
        <v>12476</v>
      </c>
      <c r="C211" s="10">
        <f>'APÊNDICE II-MEMÓRIA DE CÁLCULO'!C212</f>
        <v>471145</v>
      </c>
      <c r="D211" s="11" t="str">
        <f>'APÊNDICE II-MEMÓRIA DE CÁLCULO'!D212</f>
        <v>Porta-agulha instrumental - modelo: Mayo Hegar, tamanho: 14 cm, material: aço inoxidável AISI-420, esterilidade: esterilizável, características adicionais: embalagem plástica individual, constando os dados de identificação, procedência, rastreabilidade e registro em órgão competente.</v>
      </c>
      <c r="E211" s="10" t="str">
        <f>'APÊNDICE II-MEMÓRIA DE CÁLCULO'!E212</f>
        <v>UNIDADE</v>
      </c>
      <c r="F211" s="27">
        <f>'APÊNDICE II-MEMÓRIA DE CÁLCULO'!L212</f>
        <v>10</v>
      </c>
      <c r="G211" s="13">
        <f>'APÊNDICE III - MAPA DE PREÇOS'!X211</f>
        <v>40.15</v>
      </c>
      <c r="H211" s="13">
        <f t="shared" si="3"/>
        <v>401.5</v>
      </c>
    </row>
    <row r="212" spans="1:8" ht="99" x14ac:dyDescent="0.3">
      <c r="A212" s="1">
        <v>208</v>
      </c>
      <c r="B212" s="10">
        <f>'APÊNDICE II-MEMÓRIA DE CÁLCULO'!B213</f>
        <v>12477</v>
      </c>
      <c r="C212" s="10">
        <f>'APÊNDICE II-MEMÓRIA DE CÁLCULO'!C213</f>
        <v>471148</v>
      </c>
      <c r="D212" s="11" t="str">
        <f>'APÊNDICE II-MEMÓRIA DE CÁLCULO'!D213</f>
        <v>Porta-agulha instrumental - modelo: Mayo Hegar, tamanho: 20 cm, material: aço inoxidável AISI-420, esterilidade: esterilizável, características adicionais: embalagem plástica individual, constando os dados de identificação, procedência, rastreabilidade e registro em órgão competente.</v>
      </c>
      <c r="E212" s="10" t="str">
        <f>'APÊNDICE II-MEMÓRIA DE CÁLCULO'!E213</f>
        <v>UNIDADE</v>
      </c>
      <c r="F212" s="27">
        <f>'APÊNDICE II-MEMÓRIA DE CÁLCULO'!L213</f>
        <v>10</v>
      </c>
      <c r="G212" s="13">
        <f>'APÊNDICE III - MAPA DE PREÇOS'!X212</f>
        <v>63.58</v>
      </c>
      <c r="H212" s="13">
        <f t="shared" si="3"/>
        <v>635.79999999999995</v>
      </c>
    </row>
    <row r="213" spans="1:8" ht="99" x14ac:dyDescent="0.3">
      <c r="A213" s="1">
        <v>209</v>
      </c>
      <c r="B213" s="10">
        <f>'APÊNDICE II-MEMÓRIA DE CÁLCULO'!B214</f>
        <v>12478</v>
      </c>
      <c r="C213" s="10">
        <f>'APÊNDICE II-MEMÓRIA DE CÁLCULO'!C214</f>
        <v>453771</v>
      </c>
      <c r="D213" s="11" t="str">
        <f>'APÊNDICE II-MEMÓRIA DE CÁLCULO'!D214</f>
        <v>Pá para desfibrilador - tipo: adesiva, tipo equipamento: externo automático, tamanho: adulto, esterilidade: descartável, características adicionais: utilização em pacientes em situações de parada cardio respiratória, referência: compatibilidade com modelo antigo, conector azul e branco.</v>
      </c>
      <c r="E213" s="10" t="str">
        <f>'APÊNDICE II-MEMÓRIA DE CÁLCULO'!E214</f>
        <v>UNIDADE</v>
      </c>
      <c r="F213" s="27">
        <f>'APÊNDICE II-MEMÓRIA DE CÁLCULO'!L214</f>
        <v>5</v>
      </c>
      <c r="G213" s="13">
        <f>'APÊNDICE III - MAPA DE PREÇOS'!X213</f>
        <v>744.19</v>
      </c>
      <c r="H213" s="13">
        <f t="shared" si="3"/>
        <v>3720.9500000000003</v>
      </c>
    </row>
    <row r="214" spans="1:8" ht="99" x14ac:dyDescent="0.3">
      <c r="A214" s="1">
        <v>210</v>
      </c>
      <c r="B214" s="10">
        <f>'APÊNDICE II-MEMÓRIA DE CÁLCULO'!B215</f>
        <v>12479</v>
      </c>
      <c r="C214" s="10">
        <f>'APÊNDICE II-MEMÓRIA DE CÁLCULO'!C215</f>
        <v>453772</v>
      </c>
      <c r="D214" s="11" t="str">
        <f>'APÊNDICE II-MEMÓRIA DE CÁLCULO'!D215</f>
        <v>Pá para desfibrilador - tipo: adesiva, tipo equipamento: externo automático, tamanho: pediátrica, esterilidade: descartável, características adicionais: utilização em pacientes em situações de parada cardio respiratória, referência: compatibilidade com modelo antigo, conector azul e branco.</v>
      </c>
      <c r="E214" s="10" t="str">
        <f>'APÊNDICE II-MEMÓRIA DE CÁLCULO'!E215</f>
        <v>UNIDADE</v>
      </c>
      <c r="F214" s="27">
        <f>'APÊNDICE II-MEMÓRIA DE CÁLCULO'!L215</f>
        <v>5</v>
      </c>
      <c r="G214" s="13">
        <f>'APÊNDICE III - MAPA DE PREÇOS'!X214</f>
        <v>589.20000000000005</v>
      </c>
      <c r="H214" s="13">
        <f t="shared" si="3"/>
        <v>2946</v>
      </c>
    </row>
    <row r="215" spans="1:8" ht="115.5" x14ac:dyDescent="0.3">
      <c r="A215" s="1">
        <v>211</v>
      </c>
      <c r="B215" s="10">
        <f>'APÊNDICE II-MEMÓRIA DE CÁLCULO'!B216</f>
        <v>12480</v>
      </c>
      <c r="C215" s="10">
        <f>'APÊNDICE II-MEMÓRIA DE CÁLCULO'!C216</f>
        <v>413334</v>
      </c>
      <c r="D215" s="11" t="str">
        <f>'APÊNDICE II-MEMÓRIA DE CÁLCULO'!D216</f>
        <v>Pinça clínica - aplicação: para algodão, tamanho: Nº 17, material: aço inoxidável, esterilidade: autoclavável, características adicionais: utilizada para realização de curativos e desinfecção de feridas em pacientes com ferimentos contaminados, embalagem plástica individual, constando os dados de identificação, e registro em órgão competente.</v>
      </c>
      <c r="E215" s="10" t="str">
        <f>'APÊNDICE II-MEMÓRIA DE CÁLCULO'!E216</f>
        <v>UNIDADE</v>
      </c>
      <c r="F215" s="27">
        <f>'APÊNDICE II-MEMÓRIA DE CÁLCULO'!L216</f>
        <v>50</v>
      </c>
      <c r="G215" s="13">
        <f>'APÊNDICE III - MAPA DE PREÇOS'!X215</f>
        <v>15.88</v>
      </c>
      <c r="H215" s="13">
        <f t="shared" si="3"/>
        <v>794</v>
      </c>
    </row>
    <row r="216" spans="1:8" ht="148.5" x14ac:dyDescent="0.3">
      <c r="A216" s="1">
        <v>212</v>
      </c>
      <c r="B216" s="10">
        <f>'APÊNDICE II-MEMÓRIA DE CÁLCULO'!B217</f>
        <v>12481</v>
      </c>
      <c r="C216" s="10">
        <f>'APÊNDICE II-MEMÓRIA DE CÁLCULO'!C217</f>
        <v>339561</v>
      </c>
      <c r="D216" s="11" t="str">
        <f>'APÊNDICE II-MEMÓRIA DE CÁLCULO'!D217</f>
        <v xml:space="preserve">Reagente para diagnóstico clínico - tipo: uroanálise, apresentação: tira, caixa com 150 unidades, características adicionais: tiras reativas que possuem 11 áreas para a determinação rápida de: sangue, urobilinogênio, bilirrubina, proteínas, nitrito, corpos cetônicos, ácido ascórbico, glicose, pH, densidade e leucócitos em amostras de urina. Em embalagem contendo externamente dados de identificação e procedência. </v>
      </c>
      <c r="E216" s="10" t="str">
        <f>'APÊNDICE II-MEMÓRIA DE CÁLCULO'!E217</f>
        <v xml:space="preserve">CAIXA </v>
      </c>
      <c r="F216" s="27">
        <f>'APÊNDICE II-MEMÓRIA DE CÁLCULO'!L217</f>
        <v>20</v>
      </c>
      <c r="G216" s="13">
        <f>'APÊNDICE III - MAPA DE PREÇOS'!X216</f>
        <v>83.25</v>
      </c>
      <c r="H216" s="13">
        <f t="shared" si="3"/>
        <v>1665</v>
      </c>
    </row>
    <row r="217" spans="1:8" ht="200.25" customHeight="1" x14ac:dyDescent="0.25">
      <c r="A217" s="1">
        <v>213</v>
      </c>
      <c r="B217" s="10">
        <f>'APÊNDICE II-MEMÓRIA DE CÁLCULO'!B218</f>
        <v>12483</v>
      </c>
      <c r="C217" s="10">
        <f>'APÊNDICE II-MEMÓRIA DE CÁLCULO'!C218</f>
        <v>339565</v>
      </c>
      <c r="D217" s="11" t="str">
        <f>'APÊNDICE II-MEMÓRIA DE CÁLCULO'!D218</f>
        <v xml:space="preserve">Reagente para diagnóstico clínico - tipo de análise: determinação de glicose no sangue, apresentação: tira, apresentação: caixa com 50 tiras, características adicionais: reagente, para indicação de glicemia no sangue, capilar/venoso, compatível com aparelho especificado, o qual deverá ser oferecido quando solicitado, tubos com 50 fitas individuais, para uso manual, a empresa ganhadora das fitas deverá fornecer os aparelhos em regime de comodato. Embalagem contendo externamente dados de identificação e procedência, lote, prazo de validade e registro em órgão competente. </v>
      </c>
      <c r="E217" s="10" t="str">
        <f>'APÊNDICE II-MEMÓRIA DE CÁLCULO'!E218</f>
        <v>CAIXA</v>
      </c>
      <c r="F217" s="27">
        <f>'APÊNDICE II-MEMÓRIA DE CÁLCULO'!L218</f>
        <v>2688</v>
      </c>
      <c r="G217" s="13">
        <f>'APÊNDICE III - MAPA DE PREÇOS'!X217</f>
        <v>58.89</v>
      </c>
      <c r="H217" s="13">
        <f t="shared" si="3"/>
        <v>158296.32000000001</v>
      </c>
    </row>
    <row r="218" spans="1:8" ht="115.5" x14ac:dyDescent="0.3">
      <c r="A218" s="1">
        <v>214</v>
      </c>
      <c r="B218" s="10">
        <f>'APÊNDICE II-MEMÓRIA DE CÁLCULO'!B219</f>
        <v>12484</v>
      </c>
      <c r="C218" s="10">
        <f>'APÊNDICE II-MEMÓRIA DE CÁLCULO'!C219</f>
        <v>464785</v>
      </c>
      <c r="D218" s="11" t="str">
        <f>'APÊNDICE II-MEMÓRIA DE CÁLCULO'!D219</f>
        <v>Sapatilha hospitalar - tipo uso: descartável, material: confeccionada em tecido (sem textura firme), modelo tipo: bota, tamanho: único, características adicionais: modelo de forma que permita a cobertura completa do calçado até o tornozelo, com elástico em toda a sua volta,cor: verde ou branca. Embalagem contendo externamente dados de identificação e procedência.</v>
      </c>
      <c r="E218" s="10" t="str">
        <f>'APÊNDICE II-MEMÓRIA DE CÁLCULO'!E219</f>
        <v>UNIDADE</v>
      </c>
      <c r="F218" s="27">
        <f>'APÊNDICE II-MEMÓRIA DE CÁLCULO'!L219</f>
        <v>3600</v>
      </c>
      <c r="G218" s="13">
        <f>'APÊNDICE III - MAPA DE PREÇOS'!X218</f>
        <v>0.11</v>
      </c>
      <c r="H218" s="13">
        <f t="shared" si="3"/>
        <v>396</v>
      </c>
    </row>
    <row r="219" spans="1:8" ht="214.5" x14ac:dyDescent="0.3">
      <c r="A219" s="1">
        <v>215</v>
      </c>
      <c r="B219" s="10">
        <f>'APÊNDICE II-MEMÓRIA DE CÁLCULO'!B220</f>
        <v>12485</v>
      </c>
      <c r="C219" s="10">
        <f>'APÊNDICE II-MEMÓRIA DE CÁLCULO'!C220</f>
        <v>417795</v>
      </c>
      <c r="D219" s="11" t="str">
        <f>'APÊNDICE II-MEMÓRIA DE CÁLCULO'!D220</f>
        <v>Seringa - capacidade: 1ML, medidas: com agulha 13x0,45mm, tipo uso: descartável,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19" s="10" t="str">
        <f>'APÊNDICE II-MEMÓRIA DE CÁLCULO'!E220</f>
        <v>UNIDADE</v>
      </c>
      <c r="F219" s="27">
        <f>'APÊNDICE II-MEMÓRIA DE CÁLCULO'!L220</f>
        <v>29500</v>
      </c>
      <c r="G219" s="13">
        <f>'APÊNDICE III - MAPA DE PREÇOS'!X219</f>
        <v>0.36</v>
      </c>
      <c r="H219" s="13">
        <f t="shared" si="3"/>
        <v>10620</v>
      </c>
    </row>
    <row r="220" spans="1:8" ht="214.5" x14ac:dyDescent="0.3">
      <c r="A220" s="1">
        <v>216</v>
      </c>
      <c r="B220" s="10">
        <f>'APÊNDICE II-MEMÓRIA DE CÁLCULO'!B221</f>
        <v>15339</v>
      </c>
      <c r="C220" s="10" t="str">
        <f>'APÊNDICE II-MEMÓRIA DE CÁLCULO'!C221</f>
        <v>-</v>
      </c>
      <c r="D220" s="11" t="str">
        <f>'APÊNDICE II-MEMÓRIA DE CÁLCULO'!D221</f>
        <v>Seringa - capacidade: 3ML,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0" s="10" t="str">
        <f>'APÊNDICE II-MEMÓRIA DE CÁLCULO'!E221</f>
        <v>UNIDADE</v>
      </c>
      <c r="F220" s="27">
        <f>'APÊNDICE II-MEMÓRIA DE CÁLCULO'!L221</f>
        <v>60000</v>
      </c>
      <c r="G220" s="13">
        <f>'APÊNDICE III - MAPA DE PREÇOS'!X220</f>
        <v>0.49</v>
      </c>
      <c r="H220" s="13">
        <f t="shared" si="3"/>
        <v>29400</v>
      </c>
    </row>
    <row r="221" spans="1:8" ht="214.5" x14ac:dyDescent="0.3">
      <c r="A221" s="1">
        <v>217</v>
      </c>
      <c r="B221" s="10">
        <f>'APÊNDICE II-MEMÓRIA DE CÁLCULO'!B222</f>
        <v>15340</v>
      </c>
      <c r="C221" s="10">
        <f>'APÊNDICE II-MEMÓRIA DE CÁLCULO'!C222</f>
        <v>422326</v>
      </c>
      <c r="D221" s="11" t="str">
        <f>'APÊNDICE II-MEMÓRIA DE CÁLCULO'!D222</f>
        <v>Seringa - capacidade: 5ML,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1" s="10" t="str">
        <f>'APÊNDICE II-MEMÓRIA DE CÁLCULO'!E222</f>
        <v>UNIDADE</v>
      </c>
      <c r="F221" s="27">
        <f>'APÊNDICE II-MEMÓRIA DE CÁLCULO'!L222</f>
        <v>52000</v>
      </c>
      <c r="G221" s="13">
        <f>'APÊNDICE III - MAPA DE PREÇOS'!X221</f>
        <v>0.71</v>
      </c>
      <c r="H221" s="13">
        <f t="shared" si="3"/>
        <v>36920</v>
      </c>
    </row>
    <row r="222" spans="1:8" ht="214.5" x14ac:dyDescent="0.3">
      <c r="A222" s="1">
        <v>218</v>
      </c>
      <c r="B222" s="10">
        <f>'APÊNDICE II-MEMÓRIA DE CÁLCULO'!B223</f>
        <v>12488</v>
      </c>
      <c r="C222" s="10">
        <f>'APÊNDICE II-MEMÓRIA DE CÁLCULO'!C223</f>
        <v>417796</v>
      </c>
      <c r="D222" s="11" t="str">
        <f>'APÊNDICE II-MEMÓRIA DE CÁLCULO'!D223</f>
        <v>Seringa, capacidade: 10ML, com agulha, tipo uso: descartável, 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2" s="10" t="str">
        <f>'APÊNDICE II-MEMÓRIA DE CÁLCULO'!E223</f>
        <v>UNIDADE</v>
      </c>
      <c r="F222" s="27">
        <f>'APÊNDICE II-MEMÓRIA DE CÁLCULO'!L223</f>
        <v>56500</v>
      </c>
      <c r="G222" s="13">
        <f>'APÊNDICE III - MAPA DE PREÇOS'!X222</f>
        <v>0.65</v>
      </c>
      <c r="H222" s="13">
        <f t="shared" si="3"/>
        <v>36725</v>
      </c>
    </row>
    <row r="223" spans="1:8" ht="214.5" x14ac:dyDescent="0.3">
      <c r="A223" s="1">
        <v>219</v>
      </c>
      <c r="B223" s="10">
        <f>'APÊNDICE II-MEMÓRIA DE CÁLCULO'!B224</f>
        <v>12489</v>
      </c>
      <c r="C223" s="10">
        <f>'APÊNDICE II-MEMÓRIA DE CÁLCULO'!C224</f>
        <v>454093</v>
      </c>
      <c r="D223" s="11" t="str">
        <f>'APÊNDICE II-MEMÓRIA DE CÁLCULO'!D224</f>
        <v>Seringa - capacidade: 20ML, medidas: com agulha, tipo uso: descartável, 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3" s="10" t="str">
        <f>'APÊNDICE II-MEMÓRIA DE CÁLCULO'!E224</f>
        <v>UNIDADE</v>
      </c>
      <c r="F223" s="27">
        <f>'APÊNDICE II-MEMÓRIA DE CÁLCULO'!L224</f>
        <v>18000</v>
      </c>
      <c r="G223" s="13">
        <f>'APÊNDICE III - MAPA DE PREÇOS'!X223</f>
        <v>0.52</v>
      </c>
      <c r="H223" s="13">
        <f t="shared" si="3"/>
        <v>9360</v>
      </c>
    </row>
    <row r="224" spans="1:8" ht="231" x14ac:dyDescent="0.3">
      <c r="A224" s="1">
        <v>220</v>
      </c>
      <c r="B224" s="10">
        <f>'APÊNDICE II-MEMÓRIA DE CÁLCULO'!B225</f>
        <v>12490</v>
      </c>
      <c r="C224" s="10">
        <f>'APÊNDICE II-MEMÓRIA DE CÁLCULO'!C225</f>
        <v>436040</v>
      </c>
      <c r="D224" s="11" t="str">
        <f>'APÊNDICE II-MEMÓRIA DE CÁLCULO'!D225</f>
        <v xml:space="preserve">Sonda de trato urinário - modelo: Foley, tamanho: N°08,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
</v>
      </c>
      <c r="E224" s="10" t="str">
        <f>'APÊNDICE II-MEMÓRIA DE CÁLCULO'!E225</f>
        <v>UNIDADE</v>
      </c>
      <c r="F224" s="27">
        <f>'APÊNDICE II-MEMÓRIA DE CÁLCULO'!L225</f>
        <v>100</v>
      </c>
      <c r="G224" s="13">
        <f>'APÊNDICE III - MAPA DE PREÇOS'!X224</f>
        <v>3.3</v>
      </c>
      <c r="H224" s="13">
        <f t="shared" si="3"/>
        <v>330</v>
      </c>
    </row>
    <row r="225" spans="1:8" ht="198" x14ac:dyDescent="0.3">
      <c r="A225" s="1">
        <v>221</v>
      </c>
      <c r="B225" s="10">
        <f>'APÊNDICE II-MEMÓRIA DE CÁLCULO'!B226</f>
        <v>12491</v>
      </c>
      <c r="C225" s="10">
        <f>'APÊNDICE II-MEMÓRIA DE CÁLCULO'!C226</f>
        <v>436000</v>
      </c>
      <c r="D225" s="11" t="str">
        <f>'APÊNDICE II-MEMÓRIA DE CÁLCULO'!D226</f>
        <v>Sonda de trato urinário, modelo: Foley, tamanho: N°10,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5" s="10" t="str">
        <f>'APÊNDICE II-MEMÓRIA DE CÁLCULO'!E226</f>
        <v>UNIDADE</v>
      </c>
      <c r="F225" s="27">
        <f>'APÊNDICE II-MEMÓRIA DE CÁLCULO'!L226</f>
        <v>100</v>
      </c>
      <c r="G225" s="13">
        <f>'APÊNDICE III - MAPA DE PREÇOS'!X225</f>
        <v>3.18</v>
      </c>
      <c r="H225" s="13">
        <f t="shared" si="3"/>
        <v>318</v>
      </c>
    </row>
    <row r="226" spans="1:8" ht="198" x14ac:dyDescent="0.3">
      <c r="A226" s="1">
        <v>222</v>
      </c>
      <c r="B226" s="10">
        <f>'APÊNDICE II-MEMÓRIA DE CÁLCULO'!B227</f>
        <v>12494</v>
      </c>
      <c r="C226" s="10">
        <f>'APÊNDICE II-MEMÓRIA DE CÁLCULO'!C227</f>
        <v>436001</v>
      </c>
      <c r="D226" s="11" t="str">
        <f>'APÊNDICE II-MEMÓRIA DE CÁLCULO'!D227</f>
        <v>Sonda de trato urinário - modelo: Foley, tamanho: N°12,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6" s="10" t="str">
        <f>'APÊNDICE II-MEMÓRIA DE CÁLCULO'!E227</f>
        <v>UNIDADE</v>
      </c>
      <c r="F226" s="27">
        <f>'APÊNDICE II-MEMÓRIA DE CÁLCULO'!L227</f>
        <v>50</v>
      </c>
      <c r="G226" s="13">
        <f>'APÊNDICE III - MAPA DE PREÇOS'!X226</f>
        <v>3.31</v>
      </c>
      <c r="H226" s="13">
        <f t="shared" si="3"/>
        <v>165.5</v>
      </c>
    </row>
    <row r="227" spans="1:8" ht="198" x14ac:dyDescent="0.3">
      <c r="A227" s="1">
        <v>223</v>
      </c>
      <c r="B227" s="10">
        <f>'APÊNDICE II-MEMÓRIA DE CÁLCULO'!B228</f>
        <v>12492</v>
      </c>
      <c r="C227" s="10">
        <f>'APÊNDICE II-MEMÓRIA DE CÁLCULO'!C228</f>
        <v>436002</v>
      </c>
      <c r="D227" s="11" t="str">
        <f>'APÊNDICE II-MEMÓRIA DE CÁLCULO'!D228</f>
        <v>Sonda de trato urinário - modelo: Foley, tamanho: N°14,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7" s="10" t="str">
        <f>'APÊNDICE II-MEMÓRIA DE CÁLCULO'!E228</f>
        <v>UNIDADE</v>
      </c>
      <c r="F227" s="27">
        <f>'APÊNDICE II-MEMÓRIA DE CÁLCULO'!L228</f>
        <v>100</v>
      </c>
      <c r="G227" s="13">
        <f>'APÊNDICE III - MAPA DE PREÇOS'!X227</f>
        <v>3.17</v>
      </c>
      <c r="H227" s="13">
        <f t="shared" si="3"/>
        <v>317</v>
      </c>
    </row>
    <row r="228" spans="1:8" ht="198" x14ac:dyDescent="0.3">
      <c r="A228" s="1">
        <v>224</v>
      </c>
      <c r="B228" s="10">
        <f>'APÊNDICE II-MEMÓRIA DE CÁLCULO'!B229</f>
        <v>12493</v>
      </c>
      <c r="C228" s="10">
        <f>'APÊNDICE II-MEMÓRIA DE CÁLCULO'!C229</f>
        <v>436007</v>
      </c>
      <c r="D228" s="11" t="str">
        <f>'APÊNDICE II-MEMÓRIA DE CÁLCULO'!D229</f>
        <v>Sonda de trato urinário - modelo: Foley, tamanho: N°16,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8" s="10" t="str">
        <f>'APÊNDICE II-MEMÓRIA DE CÁLCULO'!E229</f>
        <v>UNIDADE</v>
      </c>
      <c r="F228" s="27">
        <f>'APÊNDICE II-MEMÓRIA DE CÁLCULO'!L229</f>
        <v>240</v>
      </c>
      <c r="G228" s="13">
        <f>'APÊNDICE III - MAPA DE PREÇOS'!X228</f>
        <v>2.92</v>
      </c>
      <c r="H228" s="13">
        <f t="shared" si="3"/>
        <v>700.8</v>
      </c>
    </row>
    <row r="229" spans="1:8" ht="198" x14ac:dyDescent="0.3">
      <c r="A229" s="1">
        <v>225</v>
      </c>
      <c r="B229" s="10">
        <f>'APÊNDICE II-MEMÓRIA DE CÁLCULO'!B230</f>
        <v>12495</v>
      </c>
      <c r="C229" s="10">
        <f>'APÊNDICE II-MEMÓRIA DE CÁLCULO'!C230</f>
        <v>436003</v>
      </c>
      <c r="D229" s="11" t="str">
        <f>'APÊNDICE II-MEMÓRIA DE CÁLCULO'!D230</f>
        <v>Sonda de trato urinário - modelo: Foley, tamanho: N°18,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9" s="10" t="str">
        <f>'APÊNDICE II-MEMÓRIA DE CÁLCULO'!E230</f>
        <v>UNIDADE</v>
      </c>
      <c r="F229" s="27">
        <f>'APÊNDICE II-MEMÓRIA DE CÁLCULO'!L230</f>
        <v>150</v>
      </c>
      <c r="G229" s="13">
        <f>'APÊNDICE III - MAPA DE PREÇOS'!X229</f>
        <v>3.54</v>
      </c>
      <c r="H229" s="13">
        <f t="shared" si="3"/>
        <v>531</v>
      </c>
    </row>
    <row r="230" spans="1:8" ht="198" x14ac:dyDescent="0.3">
      <c r="A230" s="1">
        <v>226</v>
      </c>
      <c r="B230" s="10">
        <f>'APÊNDICE II-MEMÓRIA DE CÁLCULO'!B231</f>
        <v>12496</v>
      </c>
      <c r="C230" s="10">
        <f>'APÊNDICE II-MEMÓRIA DE CÁLCULO'!C231</f>
        <v>436010</v>
      </c>
      <c r="D230" s="11" t="str">
        <f>'APÊNDICE II-MEMÓRIA DE CÁLCULO'!D231</f>
        <v>Sonda de trato urinário - modelo: Foley, tamanho: N°20,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0" s="10" t="str">
        <f>'APÊNDICE II-MEMÓRIA DE CÁLCULO'!E231</f>
        <v>UNIDADE</v>
      </c>
      <c r="F230" s="27">
        <f>'APÊNDICE II-MEMÓRIA DE CÁLCULO'!L231</f>
        <v>130</v>
      </c>
      <c r="G230" s="13">
        <f>'APÊNDICE III - MAPA DE PREÇOS'!X230</f>
        <v>3.5</v>
      </c>
      <c r="H230" s="13">
        <f t="shared" si="3"/>
        <v>455</v>
      </c>
    </row>
    <row r="231" spans="1:8" ht="198" x14ac:dyDescent="0.3">
      <c r="A231" s="1">
        <v>227</v>
      </c>
      <c r="B231" s="10">
        <f>'APÊNDICE II-MEMÓRIA DE CÁLCULO'!B232</f>
        <v>12497</v>
      </c>
      <c r="C231" s="10">
        <f>'APÊNDICE II-MEMÓRIA DE CÁLCULO'!C232</f>
        <v>436004</v>
      </c>
      <c r="D231" s="11" t="str">
        <f>'APÊNDICE II-MEMÓRIA DE CÁLCULO'!D232</f>
        <v>Sonda de trato urinário - modelo: Foley, tamanho: N°22,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1" s="10" t="str">
        <f>'APÊNDICE II-MEMÓRIA DE CÁLCULO'!E232</f>
        <v>UNIDADE</v>
      </c>
      <c r="F231" s="27">
        <f>'APÊNDICE II-MEMÓRIA DE CÁLCULO'!L232</f>
        <v>100</v>
      </c>
      <c r="G231" s="13">
        <f>'APÊNDICE III - MAPA DE PREÇOS'!X231</f>
        <v>3.01</v>
      </c>
      <c r="H231" s="13">
        <f t="shared" si="3"/>
        <v>301</v>
      </c>
    </row>
    <row r="232" spans="1:8" ht="198" x14ac:dyDescent="0.3">
      <c r="A232" s="1">
        <v>228</v>
      </c>
      <c r="B232" s="10">
        <f>'APÊNDICE II-MEMÓRIA DE CÁLCULO'!B233</f>
        <v>12498</v>
      </c>
      <c r="C232" s="10">
        <f>'APÊNDICE II-MEMÓRIA DE CÁLCULO'!C233</f>
        <v>436006</v>
      </c>
      <c r="D232" s="11" t="str">
        <f>'APÊNDICE II-MEMÓRIA DE CÁLCULO'!D233</f>
        <v>Sonda de trato urinário - modelo: Foley, tamanho: N°24,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2" s="10" t="str">
        <f>'APÊNDICE II-MEMÓRIA DE CÁLCULO'!E233</f>
        <v>UNIDADE</v>
      </c>
      <c r="F232" s="27">
        <f>'APÊNDICE II-MEMÓRIA DE CÁLCULO'!L233</f>
        <v>100</v>
      </c>
      <c r="G232" s="13">
        <f>'APÊNDICE III - MAPA DE PREÇOS'!X232</f>
        <v>3.52</v>
      </c>
      <c r="H232" s="13">
        <f t="shared" si="3"/>
        <v>352</v>
      </c>
    </row>
    <row r="233" spans="1:8" ht="115.5" x14ac:dyDescent="0.3">
      <c r="A233" s="1">
        <v>229</v>
      </c>
      <c r="B233" s="10">
        <f>'APÊNDICE II-MEMÓRIA DE CÁLCULO'!B234</f>
        <v>12499</v>
      </c>
      <c r="C233" s="10">
        <f>'APÊNDICE II-MEMÓRIA DE CÁLCULO'!C234</f>
        <v>452538</v>
      </c>
      <c r="D233" s="11" t="str">
        <f>'APÊNDICE II-MEMÓRIA DE CÁLCULO'!D234</f>
        <v>Sonda de trato urinário - modelo: uretral, tamanho: Nº 04,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3" s="10" t="str">
        <f>'APÊNDICE II-MEMÓRIA DE CÁLCULO'!E234</f>
        <v>UNIDADE</v>
      </c>
      <c r="F233" s="27">
        <f>'APÊNDICE II-MEMÓRIA DE CÁLCULO'!L234</f>
        <v>200</v>
      </c>
      <c r="G233" s="13">
        <f>'APÊNDICE III - MAPA DE PREÇOS'!X233</f>
        <v>0.61</v>
      </c>
      <c r="H233" s="13">
        <f t="shared" si="3"/>
        <v>122</v>
      </c>
    </row>
    <row r="234" spans="1:8" ht="115.5" x14ac:dyDescent="0.3">
      <c r="A234" s="1">
        <v>230</v>
      </c>
      <c r="B234" s="10">
        <f>'APÊNDICE II-MEMÓRIA DE CÁLCULO'!B235</f>
        <v>12500</v>
      </c>
      <c r="C234" s="10">
        <f>'APÊNDICE II-MEMÓRIA DE CÁLCULO'!C235</f>
        <v>435978</v>
      </c>
      <c r="D234" s="11" t="str">
        <f>'APÊNDICE II-MEMÓRIA DE CÁLCULO'!D235</f>
        <v>Sonda de trato urinário - modelo: uretral, tamanho: Nº 06,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4" s="10" t="str">
        <f>'APÊNDICE II-MEMÓRIA DE CÁLCULO'!E235</f>
        <v>UNIDADE</v>
      </c>
      <c r="F234" s="27">
        <f>'APÊNDICE II-MEMÓRIA DE CÁLCULO'!L235</f>
        <v>500</v>
      </c>
      <c r="G234" s="13">
        <f>'APÊNDICE III - MAPA DE PREÇOS'!X234</f>
        <v>0.78</v>
      </c>
      <c r="H234" s="13">
        <f t="shared" si="3"/>
        <v>390</v>
      </c>
    </row>
    <row r="235" spans="1:8" ht="115.5" x14ac:dyDescent="0.3">
      <c r="A235" s="1">
        <v>231</v>
      </c>
      <c r="B235" s="10">
        <f>'APÊNDICE II-MEMÓRIA DE CÁLCULO'!B236</f>
        <v>12501</v>
      </c>
      <c r="C235" s="10">
        <f>'APÊNDICE II-MEMÓRIA DE CÁLCULO'!C236</f>
        <v>435979</v>
      </c>
      <c r="D235" s="11" t="str">
        <f>'APÊNDICE II-MEMÓRIA DE CÁLCULO'!D236</f>
        <v>Sonda de trato urinário - modelo: uretral, tamanho: Nº 08,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5" s="10" t="str">
        <f>'APÊNDICE II-MEMÓRIA DE CÁLCULO'!E236</f>
        <v>UNIDADE</v>
      </c>
      <c r="F235" s="27">
        <f>'APÊNDICE II-MEMÓRIA DE CÁLCULO'!L236</f>
        <v>2500</v>
      </c>
      <c r="G235" s="13">
        <f>'APÊNDICE III - MAPA DE PREÇOS'!X235</f>
        <v>0.76</v>
      </c>
      <c r="H235" s="13">
        <f t="shared" si="3"/>
        <v>1900</v>
      </c>
    </row>
    <row r="236" spans="1:8" ht="115.5" x14ac:dyDescent="0.3">
      <c r="A236" s="1">
        <v>232</v>
      </c>
      <c r="B236" s="10">
        <f>'APÊNDICE II-MEMÓRIA DE CÁLCULO'!B237</f>
        <v>12502</v>
      </c>
      <c r="C236" s="10">
        <f>'APÊNDICE II-MEMÓRIA DE CÁLCULO'!C237</f>
        <v>435980</v>
      </c>
      <c r="D236" s="11" t="str">
        <f>'APÊNDICE II-MEMÓRIA DE CÁLCULO'!D237</f>
        <v>Sonda de trato urinário - modelo: uretral, tamanho: Nº 10,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6" s="10" t="str">
        <f>'APÊNDICE II-MEMÓRIA DE CÁLCULO'!E237</f>
        <v>UNIDADE</v>
      </c>
      <c r="F236" s="27">
        <f>'APÊNDICE II-MEMÓRIA DE CÁLCULO'!L237</f>
        <v>4080</v>
      </c>
      <c r="G236" s="13">
        <f>'APÊNDICE III - MAPA DE PREÇOS'!X236</f>
        <v>0.77</v>
      </c>
      <c r="H236" s="13">
        <f t="shared" si="3"/>
        <v>3141.6</v>
      </c>
    </row>
    <row r="237" spans="1:8" ht="115.5" x14ac:dyDescent="0.3">
      <c r="A237" s="1">
        <v>233</v>
      </c>
      <c r="B237" s="10">
        <f>'APÊNDICE II-MEMÓRIA DE CÁLCULO'!B238</f>
        <v>12503</v>
      </c>
      <c r="C237" s="10">
        <f>'APÊNDICE II-MEMÓRIA DE CÁLCULO'!C238</f>
        <v>435981</v>
      </c>
      <c r="D237" s="11" t="str">
        <f>'APÊNDICE II-MEMÓRIA DE CÁLCULO'!D238</f>
        <v>Sonda de trato urinário - modelo: uretral, tamanho: Nº 12,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7" s="10" t="str">
        <f>'APÊNDICE II-MEMÓRIA DE CÁLCULO'!E238</f>
        <v>UNIDADE</v>
      </c>
      <c r="F237" s="27">
        <f>'APÊNDICE II-MEMÓRIA DE CÁLCULO'!L238</f>
        <v>3920</v>
      </c>
      <c r="G237" s="13">
        <f>'APÊNDICE III - MAPA DE PREÇOS'!X237</f>
        <v>0.99</v>
      </c>
      <c r="H237" s="13">
        <f t="shared" si="3"/>
        <v>3880.8</v>
      </c>
    </row>
    <row r="238" spans="1:8" ht="115.5" x14ac:dyDescent="0.3">
      <c r="A238" s="1">
        <v>234</v>
      </c>
      <c r="B238" s="10">
        <f>'APÊNDICE II-MEMÓRIA DE CÁLCULO'!B239</f>
        <v>12504</v>
      </c>
      <c r="C238" s="10">
        <f>'APÊNDICE II-MEMÓRIA DE CÁLCULO'!C239</f>
        <v>435977</v>
      </c>
      <c r="D238" s="11" t="str">
        <f>'APÊNDICE II-MEMÓRIA DE CÁLCULO'!D239</f>
        <v>Sonda de trato urinário - modelo: uretral, tamanho: Nº 14,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8" s="10" t="str">
        <f>'APÊNDICE II-MEMÓRIA DE CÁLCULO'!E239</f>
        <v>UNIDADE</v>
      </c>
      <c r="F238" s="27">
        <f>'APÊNDICE II-MEMÓRIA DE CÁLCULO'!L239</f>
        <v>500</v>
      </c>
      <c r="G238" s="13">
        <f>'APÊNDICE III - MAPA DE PREÇOS'!X238</f>
        <v>1.1599999999999999</v>
      </c>
      <c r="H238" s="13">
        <f t="shared" si="3"/>
        <v>580</v>
      </c>
    </row>
    <row r="239" spans="1:8" ht="115.5" x14ac:dyDescent="0.3">
      <c r="A239" s="1">
        <v>235</v>
      </c>
      <c r="B239" s="10">
        <f>'APÊNDICE II-MEMÓRIA DE CÁLCULO'!B240</f>
        <v>12505</v>
      </c>
      <c r="C239" s="10">
        <f>'APÊNDICE II-MEMÓRIA DE CÁLCULO'!C240</f>
        <v>437441</v>
      </c>
      <c r="D239" s="11" t="str">
        <f>'APÊNDICE II-MEMÓRIA DE CÁLCULO'!D240</f>
        <v>Sonda de trato urinário - modelo: uretral, tamanho: Nº 16,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9" s="10" t="str">
        <f>'APÊNDICE II-MEMÓRIA DE CÁLCULO'!E240</f>
        <v>UNIDADE</v>
      </c>
      <c r="F239" s="27">
        <f>'APÊNDICE II-MEMÓRIA DE CÁLCULO'!L240</f>
        <v>580</v>
      </c>
      <c r="G239" s="13">
        <f>'APÊNDICE III - MAPA DE PREÇOS'!X239</f>
        <v>0.74</v>
      </c>
      <c r="H239" s="13">
        <f t="shared" si="3"/>
        <v>429.2</v>
      </c>
    </row>
    <row r="240" spans="1:8" ht="115.5" x14ac:dyDescent="0.3">
      <c r="A240" s="1">
        <v>236</v>
      </c>
      <c r="B240" s="10">
        <f>'APÊNDICE II-MEMÓRIA DE CÁLCULO'!B241</f>
        <v>12506</v>
      </c>
      <c r="C240" s="10">
        <f>'APÊNDICE II-MEMÓRIA DE CÁLCULO'!C241</f>
        <v>437438</v>
      </c>
      <c r="D240" s="11" t="str">
        <f>'APÊNDICE II-MEMÓRIA DE CÁLCULO'!D241</f>
        <v>Sonda de trato urinário - modelo: uretral, tamanho: Nº 18,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40" s="10" t="str">
        <f>'APÊNDICE II-MEMÓRIA DE CÁLCULO'!E241</f>
        <v>UNIDADE</v>
      </c>
      <c r="F240" s="27">
        <f>'APÊNDICE II-MEMÓRIA DE CÁLCULO'!L241</f>
        <v>100</v>
      </c>
      <c r="G240" s="13">
        <f>'APÊNDICE III - MAPA DE PREÇOS'!X240</f>
        <v>1.1499999999999999</v>
      </c>
      <c r="H240" s="13">
        <f t="shared" si="3"/>
        <v>114.99999999999999</v>
      </c>
    </row>
    <row r="241" spans="1:8" ht="115.5" x14ac:dyDescent="0.3">
      <c r="A241" s="1">
        <v>237</v>
      </c>
      <c r="B241" s="10">
        <f>'APÊNDICE II-MEMÓRIA DE CÁLCULO'!B242</f>
        <v>12507</v>
      </c>
      <c r="C241" s="10">
        <f>'APÊNDICE II-MEMÓRIA DE CÁLCULO'!C242</f>
        <v>437444</v>
      </c>
      <c r="D241" s="11" t="str">
        <f>'APÊNDICE II-MEMÓRIA DE CÁLCULO'!D242</f>
        <v>Sonda de trato urinário - modelo: uretral, tamanho: Nº 20,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41" s="10" t="str">
        <f>'APÊNDICE II-MEMÓRIA DE CÁLCULO'!E242</f>
        <v>UNIDADE</v>
      </c>
      <c r="F241" s="27">
        <f>'APÊNDICE II-MEMÓRIA DE CÁLCULO'!L242</f>
        <v>100</v>
      </c>
      <c r="G241" s="13">
        <f>'APÊNDICE III - MAPA DE PREÇOS'!X241</f>
        <v>1.49</v>
      </c>
      <c r="H241" s="13">
        <f t="shared" si="3"/>
        <v>149</v>
      </c>
    </row>
    <row r="242" spans="1:8" ht="148.5" x14ac:dyDescent="0.3">
      <c r="A242" s="1">
        <v>238</v>
      </c>
      <c r="B242" s="10">
        <f>'APÊNDICE II-MEMÓRIA DE CÁLCULO'!B243</f>
        <v>12508</v>
      </c>
      <c r="C242" s="10" t="str">
        <f>'APÊNDICE II-MEMÓRIA DE CÁLCULO'!C243</f>
        <v>-</v>
      </c>
      <c r="D242" s="11" t="str">
        <f>'APÊNDICE II-MEMÓRIA DE CÁLCULO'!D243</f>
        <v>Sonda de aspiração traqueal - tamanho: Nº 04,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2" s="10" t="str">
        <f>'APÊNDICE II-MEMÓRIA DE CÁLCULO'!E243</f>
        <v>UNIDADE</v>
      </c>
      <c r="F242" s="27">
        <f>'APÊNDICE II-MEMÓRIA DE CÁLCULO'!L243</f>
        <v>100</v>
      </c>
      <c r="G242" s="13">
        <f>'APÊNDICE III - MAPA DE PREÇOS'!X242</f>
        <v>1.06</v>
      </c>
      <c r="H242" s="13">
        <f t="shared" si="3"/>
        <v>106</v>
      </c>
    </row>
    <row r="243" spans="1:8" ht="148.5" x14ac:dyDescent="0.3">
      <c r="A243" s="1">
        <v>239</v>
      </c>
      <c r="B243" s="10">
        <f>'APÊNDICE II-MEMÓRIA DE CÁLCULO'!B244</f>
        <v>12509</v>
      </c>
      <c r="C243" s="10">
        <f>'APÊNDICE II-MEMÓRIA DE CÁLCULO'!C244</f>
        <v>454391</v>
      </c>
      <c r="D243" s="11" t="str">
        <f>'APÊNDICE II-MEMÓRIA DE CÁLCULO'!D244</f>
        <v>Sonda de aspiração traqueal - tamanho: Nº 06,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3" s="10" t="str">
        <f>'APÊNDICE II-MEMÓRIA DE CÁLCULO'!E244</f>
        <v>UNIDADE</v>
      </c>
      <c r="F243" s="27">
        <f>'APÊNDICE II-MEMÓRIA DE CÁLCULO'!L244</f>
        <v>200</v>
      </c>
      <c r="G243" s="13">
        <f>'APÊNDICE III - MAPA DE PREÇOS'!X243</f>
        <v>0.84</v>
      </c>
      <c r="H243" s="13">
        <f t="shared" si="3"/>
        <v>168</v>
      </c>
    </row>
    <row r="244" spans="1:8" ht="148.5" x14ac:dyDescent="0.3">
      <c r="A244" s="1">
        <v>240</v>
      </c>
      <c r="B244" s="10">
        <f>'APÊNDICE II-MEMÓRIA DE CÁLCULO'!B245</f>
        <v>12510</v>
      </c>
      <c r="C244" s="10">
        <f>'APÊNDICE II-MEMÓRIA DE CÁLCULO'!C245</f>
        <v>454406</v>
      </c>
      <c r="D244" s="11" t="str">
        <f>'APÊNDICE II-MEMÓRIA DE CÁLCULO'!D245</f>
        <v>Sonda de aspiração traqueal - tamanho: Nº 08,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4" s="10" t="str">
        <f>'APÊNDICE II-MEMÓRIA DE CÁLCULO'!E245</f>
        <v>UNIDADE</v>
      </c>
      <c r="F244" s="27">
        <f>'APÊNDICE II-MEMÓRIA DE CÁLCULO'!L245</f>
        <v>500</v>
      </c>
      <c r="G244" s="13">
        <f>'APÊNDICE III - MAPA DE PREÇOS'!X244</f>
        <v>0.76</v>
      </c>
      <c r="H244" s="13">
        <f t="shared" si="3"/>
        <v>380</v>
      </c>
    </row>
    <row r="245" spans="1:8" ht="148.5" x14ac:dyDescent="0.3">
      <c r="A245" s="1">
        <v>241</v>
      </c>
      <c r="B245" s="10">
        <f>'APÊNDICE II-MEMÓRIA DE CÁLCULO'!B246</f>
        <v>12880</v>
      </c>
      <c r="C245" s="10">
        <f>'APÊNDICE II-MEMÓRIA DE CÁLCULO'!C246</f>
        <v>454404</v>
      </c>
      <c r="D245" s="11" t="str">
        <f>'APÊNDICE II-MEMÓRIA DE CÁLCULO'!D246</f>
        <v>Sonda de aspiração traqueal - tamanho: Nº 10,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5" s="10" t="str">
        <f>'APÊNDICE II-MEMÓRIA DE CÁLCULO'!E246</f>
        <v>UNIDADE</v>
      </c>
      <c r="F245" s="27">
        <f>'APÊNDICE II-MEMÓRIA DE CÁLCULO'!L246</f>
        <v>1500</v>
      </c>
      <c r="G245" s="13">
        <f>'APÊNDICE III - MAPA DE PREÇOS'!X245</f>
        <v>0.78</v>
      </c>
      <c r="H245" s="13">
        <f t="shared" si="3"/>
        <v>1170</v>
      </c>
    </row>
    <row r="246" spans="1:8" ht="148.5" x14ac:dyDescent="0.3">
      <c r="A246" s="1">
        <v>242</v>
      </c>
      <c r="B246" s="10">
        <f>'APÊNDICE II-MEMÓRIA DE CÁLCULO'!B247</f>
        <v>12512</v>
      </c>
      <c r="C246" s="10">
        <f>'APÊNDICE II-MEMÓRIA DE CÁLCULO'!C247</f>
        <v>454405</v>
      </c>
      <c r="D246" s="11" t="str">
        <f>'APÊNDICE II-MEMÓRIA DE CÁLCULO'!D247</f>
        <v>Sonda de aspiração traqueal - tamanho: Nº 12,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6" s="10" t="str">
        <f>'APÊNDICE II-MEMÓRIA DE CÁLCULO'!E247</f>
        <v>UNIDADE</v>
      </c>
      <c r="F246" s="27">
        <f>'APÊNDICE II-MEMÓRIA DE CÁLCULO'!L247</f>
        <v>150</v>
      </c>
      <c r="G246" s="13">
        <f>'APÊNDICE III - MAPA DE PREÇOS'!X246</f>
        <v>0.86</v>
      </c>
      <c r="H246" s="13">
        <f t="shared" si="3"/>
        <v>129</v>
      </c>
    </row>
    <row r="247" spans="1:8" ht="148.5" x14ac:dyDescent="0.3">
      <c r="A247" s="1">
        <v>243</v>
      </c>
      <c r="B247" s="10">
        <f>'APÊNDICE II-MEMÓRIA DE CÁLCULO'!B248</f>
        <v>12513</v>
      </c>
      <c r="C247" s="10">
        <f>'APÊNDICE II-MEMÓRIA DE CÁLCULO'!C248</f>
        <v>454402</v>
      </c>
      <c r="D247" s="11" t="str">
        <f>'APÊNDICE II-MEMÓRIA DE CÁLCULO'!D248</f>
        <v>Sonda de aspiração traqueal - tamanho: Nº 14,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7" s="10" t="str">
        <f>'APÊNDICE II-MEMÓRIA DE CÁLCULO'!E248</f>
        <v>UNIDADE</v>
      </c>
      <c r="F247" s="27">
        <f>'APÊNDICE II-MEMÓRIA DE CÁLCULO'!L248</f>
        <v>1500</v>
      </c>
      <c r="G247" s="13">
        <f>'APÊNDICE III - MAPA DE PREÇOS'!X247</f>
        <v>1.1000000000000001</v>
      </c>
      <c r="H247" s="13">
        <f t="shared" si="3"/>
        <v>1650.0000000000002</v>
      </c>
    </row>
    <row r="248" spans="1:8" ht="148.5" x14ac:dyDescent="0.3">
      <c r="A248" s="1">
        <v>244</v>
      </c>
      <c r="B248" s="10">
        <f>'APÊNDICE II-MEMÓRIA DE CÁLCULO'!B249</f>
        <v>12514</v>
      </c>
      <c r="C248" s="10">
        <f>'APÊNDICE II-MEMÓRIA DE CÁLCULO'!C249</f>
        <v>454403</v>
      </c>
      <c r="D248" s="11" t="str">
        <f>'APÊNDICE II-MEMÓRIA DE CÁLCULO'!D249</f>
        <v>Sonda de aspiração traqueal - tamanho: Nº 16,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8" s="10" t="str">
        <f>'APÊNDICE II-MEMÓRIA DE CÁLCULO'!E249</f>
        <v>UNIDADE</v>
      </c>
      <c r="F248" s="27">
        <f>'APÊNDICE II-MEMÓRIA DE CÁLCULO'!L249</f>
        <v>500</v>
      </c>
      <c r="G248" s="13">
        <f>'APÊNDICE III - MAPA DE PREÇOS'!X248</f>
        <v>0.99</v>
      </c>
      <c r="H248" s="13">
        <f t="shared" si="3"/>
        <v>495</v>
      </c>
    </row>
    <row r="249" spans="1:8" ht="165" x14ac:dyDescent="0.3">
      <c r="A249" s="1">
        <v>245</v>
      </c>
      <c r="B249" s="10">
        <f>'APÊNDICE II-MEMÓRIA DE CÁLCULO'!B250</f>
        <v>12515</v>
      </c>
      <c r="C249" s="10" t="str">
        <f>'APÊNDICE II-MEMÓRIA DE CÁLCULO'!C250</f>
        <v>-</v>
      </c>
      <c r="D249" s="11" t="str">
        <f>'APÊNDICE II-MEMÓRIA DE CÁLCULO'!D250</f>
        <v xml:space="preserve">Sonda de aspiração traqueal - tamanho: Nº 18,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
</v>
      </c>
      <c r="E249" s="10" t="str">
        <f>'APÊNDICE II-MEMÓRIA DE CÁLCULO'!E250</f>
        <v>UNIDADE</v>
      </c>
      <c r="F249" s="27">
        <f>'APÊNDICE II-MEMÓRIA DE CÁLCULO'!L250</f>
        <v>500</v>
      </c>
      <c r="G249" s="13">
        <f>'APÊNDICE III - MAPA DE PREÇOS'!X249</f>
        <v>1.41</v>
      </c>
      <c r="H249" s="13">
        <f t="shared" si="3"/>
        <v>705</v>
      </c>
    </row>
    <row r="250" spans="1:8" ht="165" x14ac:dyDescent="0.3">
      <c r="A250" s="1">
        <v>246</v>
      </c>
      <c r="B250" s="10">
        <f>'APÊNDICE II-MEMÓRIA DE CÁLCULO'!B251</f>
        <v>16342</v>
      </c>
      <c r="C250" s="10" t="str">
        <f>'APÊNDICE II-MEMÓRIA DE CÁLCULO'!C251</f>
        <v>-</v>
      </c>
      <c r="D250" s="11" t="str">
        <f>'APÊNDICE II-MEMÓRIA DE CÁLCULO'!D251</f>
        <v>Tubo endotraqueal - tamanho: Nº 4,0, material: pvc,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0" s="10" t="str">
        <f>'APÊNDICE II-MEMÓRIA DE CÁLCULO'!E251</f>
        <v>UNIDADE</v>
      </c>
      <c r="F250" s="27">
        <f>'APÊNDICE II-MEMÓRIA DE CÁLCULO'!L251</f>
        <v>40</v>
      </c>
      <c r="G250" s="13">
        <f>'APÊNDICE III - MAPA DE PREÇOS'!X250</f>
        <v>5.7</v>
      </c>
      <c r="H250" s="13">
        <f t="shared" si="3"/>
        <v>228</v>
      </c>
    </row>
    <row r="251" spans="1:8" ht="148.5" x14ac:dyDescent="0.3">
      <c r="A251" s="1">
        <v>247</v>
      </c>
      <c r="B251" s="10">
        <f>'APÊNDICE II-MEMÓRIA DE CÁLCULO'!B252</f>
        <v>16343</v>
      </c>
      <c r="C251" s="10" t="str">
        <f>'APÊNDICE II-MEMÓRIA DE CÁLCULO'!C252</f>
        <v>-</v>
      </c>
      <c r="D251" s="11" t="str">
        <f>'APÊNDICE II-MEMÓRIA DE CÁLCULO'!D252</f>
        <v>Tubo endotraqueal - tamanho: Nº 5,0,características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1" s="10" t="str">
        <f>'APÊNDICE II-MEMÓRIA DE CÁLCULO'!E252</f>
        <v>UNIDADE</v>
      </c>
      <c r="F251" s="27">
        <f>'APÊNDICE II-MEMÓRIA DE CÁLCULO'!L252</f>
        <v>90</v>
      </c>
      <c r="G251" s="13">
        <f>'APÊNDICE III - MAPA DE PREÇOS'!X251</f>
        <v>5.26</v>
      </c>
      <c r="H251" s="13">
        <f t="shared" si="3"/>
        <v>473.4</v>
      </c>
    </row>
    <row r="252" spans="1:8" ht="148.5" x14ac:dyDescent="0.3">
      <c r="A252" s="1">
        <v>248</v>
      </c>
      <c r="B252" s="10">
        <f>'APÊNDICE II-MEMÓRIA DE CÁLCULO'!B253</f>
        <v>16344</v>
      </c>
      <c r="C252" s="10">
        <f>'APÊNDICE II-MEMÓRIA DE CÁLCULO'!C253</f>
        <v>454391</v>
      </c>
      <c r="D252" s="11" t="str">
        <f>'APÊNDICE II-MEMÓRIA DE CÁLCULO'!D253</f>
        <v>Tubo endotraqueal - tamanho: Nº 6,0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2" s="10" t="str">
        <f>'APÊNDICE II-MEMÓRIA DE CÁLCULO'!E253</f>
        <v>UNIDADE</v>
      </c>
      <c r="F252" s="27">
        <f>'APÊNDICE II-MEMÓRIA DE CÁLCULO'!L253</f>
        <v>120</v>
      </c>
      <c r="G252" s="13">
        <f>'APÊNDICE III - MAPA DE PREÇOS'!X252</f>
        <v>4.9000000000000004</v>
      </c>
      <c r="H252" s="13">
        <f t="shared" si="3"/>
        <v>588</v>
      </c>
    </row>
    <row r="253" spans="1:8" ht="148.5" x14ac:dyDescent="0.3">
      <c r="A253" s="1">
        <v>249</v>
      </c>
      <c r="B253" s="10">
        <f>'APÊNDICE II-MEMÓRIA DE CÁLCULO'!B254</f>
        <v>16345</v>
      </c>
      <c r="C253" s="10" t="str">
        <f>'APÊNDICE II-MEMÓRIA DE CÁLCULO'!C254</f>
        <v>-</v>
      </c>
      <c r="D253" s="11" t="str">
        <f>'APÊNDICE II-MEMÓRIA DE CÁLCULO'!D254</f>
        <v>Tubo endotraqueal - tamanho: Nº 7,5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3" s="10" t="str">
        <f>'APÊNDICE II-MEMÓRIA DE CÁLCULO'!E254</f>
        <v>UNIDADE</v>
      </c>
      <c r="F253" s="27">
        <f>'APÊNDICE II-MEMÓRIA DE CÁLCULO'!L254</f>
        <v>200</v>
      </c>
      <c r="G253" s="13">
        <f>'APÊNDICE III - MAPA DE PREÇOS'!X253</f>
        <v>4.8899999999999997</v>
      </c>
      <c r="H253" s="13">
        <f t="shared" si="3"/>
        <v>977.99999999999989</v>
      </c>
    </row>
    <row r="254" spans="1:8" ht="148.5" x14ac:dyDescent="0.3">
      <c r="A254" s="1">
        <v>250</v>
      </c>
      <c r="B254" s="10">
        <f>'APÊNDICE II-MEMÓRIA DE CÁLCULO'!B255</f>
        <v>16346</v>
      </c>
      <c r="C254" s="10">
        <f>'APÊNDICE II-MEMÓRIA DE CÁLCULO'!C255</f>
        <v>454406</v>
      </c>
      <c r="D254" s="11" t="str">
        <f>'APÊNDICE II-MEMÓRIA DE CÁLCULO'!D255</f>
        <v>Tubo endotraqueal - tamanho: Nº 8,0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4" s="10" t="str">
        <f>'APÊNDICE II-MEMÓRIA DE CÁLCULO'!E255</f>
        <v>UNIDADE</v>
      </c>
      <c r="F254" s="27">
        <f>'APÊNDICE II-MEMÓRIA DE CÁLCULO'!L255</f>
        <v>50</v>
      </c>
      <c r="G254" s="13">
        <f>'APÊNDICE III - MAPA DE PREÇOS'!X254</f>
        <v>5.18</v>
      </c>
      <c r="H254" s="13">
        <f t="shared" ref="H254:H314" si="4">F254*G254</f>
        <v>259</v>
      </c>
    </row>
    <row r="255" spans="1:8" ht="148.5" x14ac:dyDescent="0.3">
      <c r="A255" s="1">
        <v>251</v>
      </c>
      <c r="B255" s="10">
        <f>'APÊNDICE II-MEMÓRIA DE CÁLCULO'!B256</f>
        <v>16347</v>
      </c>
      <c r="C255" s="10" t="str">
        <f>'APÊNDICE II-MEMÓRIA DE CÁLCULO'!C256</f>
        <v>-</v>
      </c>
      <c r="D255" s="11" t="str">
        <f>'APÊNDICE II-MEMÓRIA DE CÁLCULO'!D256</f>
        <v>Tubo endotraqueal - tamanho: Nº 8,5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5" s="10" t="str">
        <f>'APÊNDICE II-MEMÓRIA DE CÁLCULO'!E256</f>
        <v>UNIDADE</v>
      </c>
      <c r="F255" s="27">
        <f>'APÊNDICE II-MEMÓRIA DE CÁLCULO'!L256</f>
        <v>20</v>
      </c>
      <c r="G255" s="13">
        <f>'APÊNDICE III - MAPA DE PREÇOS'!X255</f>
        <v>5.41</v>
      </c>
      <c r="H255" s="13">
        <f t="shared" si="4"/>
        <v>108.2</v>
      </c>
    </row>
    <row r="256" spans="1:8" ht="148.5" x14ac:dyDescent="0.3">
      <c r="A256" s="1">
        <v>252</v>
      </c>
      <c r="B256" s="10">
        <f>'APÊNDICE II-MEMÓRIA DE CÁLCULO'!B257</f>
        <v>16348</v>
      </c>
      <c r="C256" s="10" t="str">
        <f>'APÊNDICE II-MEMÓRIA DE CÁLCULO'!C257</f>
        <v>-</v>
      </c>
      <c r="D256" s="11" t="str">
        <f>'APÊNDICE II-MEMÓRIA DE CÁLCULO'!D257</f>
        <v>Tubo endotraqueal - tamanho: Nº 9,0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6" s="10" t="str">
        <f>'APÊNDICE II-MEMÓRIA DE CÁLCULO'!E257</f>
        <v>UNIDADE</v>
      </c>
      <c r="F256" s="27">
        <f>'APÊNDICE II-MEMÓRIA DE CÁLCULO'!L257</f>
        <v>20</v>
      </c>
      <c r="G256" s="13">
        <f>'APÊNDICE III - MAPA DE PREÇOS'!X256</f>
        <v>4.91</v>
      </c>
      <c r="H256" s="13">
        <f t="shared" si="4"/>
        <v>98.2</v>
      </c>
    </row>
    <row r="257" spans="1:8" ht="132" x14ac:dyDescent="0.3">
      <c r="A257" s="1">
        <v>253</v>
      </c>
      <c r="B257" s="10">
        <f>'APÊNDICE II-MEMÓRIA DE CÁLCULO'!B258</f>
        <v>12523</v>
      </c>
      <c r="C257" s="10">
        <f>'APÊNDICE II-MEMÓRIA DE CÁLCULO'!C258</f>
        <v>435905</v>
      </c>
      <c r="D257" s="11" t="str">
        <f>'APÊNDICE II-MEMÓRIA DE CÁLCULO'!D258</f>
        <v>Sonda nasogástrica curta - tamanho: Nº 04,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7" s="10" t="str">
        <f>'APÊNDICE II-MEMÓRIA DE CÁLCULO'!E258</f>
        <v>UNIDADE</v>
      </c>
      <c r="F257" s="27">
        <f>'APÊNDICE II-MEMÓRIA DE CÁLCULO'!L258</f>
        <v>20</v>
      </c>
      <c r="G257" s="13">
        <f>'APÊNDICE III - MAPA DE PREÇOS'!X257</f>
        <v>0.76</v>
      </c>
      <c r="H257" s="13">
        <f t="shared" si="4"/>
        <v>15.2</v>
      </c>
    </row>
    <row r="258" spans="1:8" ht="132" x14ac:dyDescent="0.3">
      <c r="A258" s="1">
        <v>254</v>
      </c>
      <c r="B258" s="10">
        <f>'APÊNDICE II-MEMÓRIA DE CÁLCULO'!B259</f>
        <v>12524</v>
      </c>
      <c r="C258" s="10">
        <f>'APÊNDICE II-MEMÓRIA DE CÁLCULO'!C259</f>
        <v>435903</v>
      </c>
      <c r="D258" s="11" t="str">
        <f>'APÊNDICE II-MEMÓRIA DE CÁLCULO'!D259</f>
        <v>Sonda nasogástrica curta - tamanho: Nº 06,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8" s="10" t="str">
        <f>'APÊNDICE II-MEMÓRIA DE CÁLCULO'!E259</f>
        <v>UNIDADE</v>
      </c>
      <c r="F258" s="27">
        <f>'APÊNDICE II-MEMÓRIA DE CÁLCULO'!L259</f>
        <v>20</v>
      </c>
      <c r="G258" s="13">
        <f>'APÊNDICE III - MAPA DE PREÇOS'!X258</f>
        <v>0.75</v>
      </c>
      <c r="H258" s="13">
        <f t="shared" si="4"/>
        <v>15</v>
      </c>
    </row>
    <row r="259" spans="1:8" ht="132" x14ac:dyDescent="0.3">
      <c r="A259" s="1">
        <v>255</v>
      </c>
      <c r="B259" s="10">
        <f>'APÊNDICE II-MEMÓRIA DE CÁLCULO'!B260</f>
        <v>12525</v>
      </c>
      <c r="C259" s="10">
        <f>'APÊNDICE II-MEMÓRIA DE CÁLCULO'!C260</f>
        <v>437216</v>
      </c>
      <c r="D259" s="11" t="str">
        <f>'APÊNDICE II-MEMÓRIA DE CÁLCULO'!D260</f>
        <v>Sonda nasogástrica longa - tamanho: Nº 06,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9" s="10" t="str">
        <f>'APÊNDICE II-MEMÓRIA DE CÁLCULO'!E260</f>
        <v>UNIDADE</v>
      </c>
      <c r="F259" s="27">
        <f>'APÊNDICE II-MEMÓRIA DE CÁLCULO'!L260</f>
        <v>30</v>
      </c>
      <c r="G259" s="13">
        <f>'APÊNDICE III - MAPA DE PREÇOS'!X259</f>
        <v>1.0900000000000001</v>
      </c>
      <c r="H259" s="13">
        <f t="shared" si="4"/>
        <v>32.700000000000003</v>
      </c>
    </row>
    <row r="260" spans="1:8" ht="132" x14ac:dyDescent="0.3">
      <c r="A260" s="1">
        <v>256</v>
      </c>
      <c r="B260" s="10">
        <f>'APÊNDICE II-MEMÓRIA DE CÁLCULO'!B261</f>
        <v>12526</v>
      </c>
      <c r="C260" s="10">
        <f>'APÊNDICE II-MEMÓRIA DE CÁLCULO'!C261</f>
        <v>435904</v>
      </c>
      <c r="D260" s="11" t="str">
        <f>'APÊNDICE II-MEMÓRIA DE CÁLCULO'!D261</f>
        <v>Sonda nasogástrica curta - 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0" s="10" t="str">
        <f>'APÊNDICE II-MEMÓRIA DE CÁLCULO'!E261</f>
        <v>UNIDADE</v>
      </c>
      <c r="F260" s="27">
        <f>'APÊNDICE II-MEMÓRIA DE CÁLCULO'!L261</f>
        <v>20</v>
      </c>
      <c r="G260" s="13">
        <f>'APÊNDICE III - MAPA DE PREÇOS'!X260</f>
        <v>0.89</v>
      </c>
      <c r="H260" s="13">
        <f t="shared" si="4"/>
        <v>17.8</v>
      </c>
    </row>
    <row r="261" spans="1:8" ht="132" x14ac:dyDescent="0.3">
      <c r="A261" s="1">
        <v>257</v>
      </c>
      <c r="B261" s="10">
        <f>'APÊNDICE II-MEMÓRIA DE CÁLCULO'!B262</f>
        <v>12527</v>
      </c>
      <c r="C261" s="10">
        <f>'APÊNDICE II-MEMÓRIA DE CÁLCULO'!C262</f>
        <v>437217</v>
      </c>
      <c r="D261" s="11" t="str">
        <f>'APÊNDICE II-MEMÓRIA DE CÁLCULO'!D262</f>
        <v>Sonda nasogástrica longa - 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1" s="10" t="str">
        <f>'APÊNDICE II-MEMÓRIA DE CÁLCULO'!E262</f>
        <v>UNIDADE</v>
      </c>
      <c r="F261" s="27">
        <f>'APÊNDICE II-MEMÓRIA DE CÁLCULO'!L262</f>
        <v>20</v>
      </c>
      <c r="G261" s="13">
        <f>'APÊNDICE III - MAPA DE PREÇOS'!X261</f>
        <v>1.03</v>
      </c>
      <c r="H261" s="13">
        <f t="shared" si="4"/>
        <v>20.6</v>
      </c>
    </row>
    <row r="262" spans="1:8" ht="134.25" customHeight="1" x14ac:dyDescent="0.3">
      <c r="A262" s="1">
        <v>258</v>
      </c>
      <c r="B262" s="10">
        <f>'APÊNDICE II-MEMÓRIA DE CÁLCULO'!B263</f>
        <v>12528</v>
      </c>
      <c r="C262" s="10">
        <f>'APÊNDICE II-MEMÓRIA DE CÁLCULO'!C263</f>
        <v>438396</v>
      </c>
      <c r="D262" s="11" t="str">
        <f>'APÊNDICE II-MEMÓRIA DE CÁLCULO'!D263</f>
        <v>Sonda nasogástrica curta - 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2" s="10" t="str">
        <f>'APÊNDICE II-MEMÓRIA DE CÁLCULO'!E263</f>
        <v>UNIDADE</v>
      </c>
      <c r="F262" s="27">
        <f>'APÊNDICE II-MEMÓRIA DE CÁLCULO'!L263</f>
        <v>20</v>
      </c>
      <c r="G262" s="13">
        <f>'APÊNDICE III - MAPA DE PREÇOS'!X262</f>
        <v>0.9</v>
      </c>
      <c r="H262" s="13">
        <f t="shared" si="4"/>
        <v>18</v>
      </c>
    </row>
    <row r="263" spans="1:8" ht="132" x14ac:dyDescent="0.3">
      <c r="A263" s="1">
        <v>259</v>
      </c>
      <c r="B263" s="10">
        <f>'APÊNDICE II-MEMÓRIA DE CÁLCULO'!B264</f>
        <v>12529</v>
      </c>
      <c r="C263" s="10">
        <f>'APÊNDICE II-MEMÓRIA DE CÁLCULO'!C264</f>
        <v>435906</v>
      </c>
      <c r="D263" s="11" t="str">
        <f>'APÊNDICE II-MEMÓRIA DE CÁLCULO'!D264</f>
        <v>Sonda nasogástrica longa - 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3" s="10" t="str">
        <f>'APÊNDICE II-MEMÓRIA DE CÁLCULO'!E264</f>
        <v>UNIDADE</v>
      </c>
      <c r="F263" s="27">
        <f>'APÊNDICE II-MEMÓRIA DE CÁLCULO'!L264</f>
        <v>20</v>
      </c>
      <c r="G263" s="13">
        <f>'APÊNDICE III - MAPA DE PREÇOS'!X263</f>
        <v>1.01</v>
      </c>
      <c r="H263" s="13">
        <f t="shared" si="4"/>
        <v>20.2</v>
      </c>
    </row>
    <row r="264" spans="1:8" ht="132" x14ac:dyDescent="0.3">
      <c r="A264" s="1">
        <v>260</v>
      </c>
      <c r="B264" s="10">
        <f>'APÊNDICE II-MEMÓRIA DE CÁLCULO'!B265</f>
        <v>12530</v>
      </c>
      <c r="C264" s="10">
        <f>'APÊNDICE II-MEMÓRIA DE CÁLCULO'!C265</f>
        <v>435907</v>
      </c>
      <c r="D264" s="11" t="str">
        <f>'APÊNDICE II-MEMÓRIA DE CÁLCULO'!D265</f>
        <v>Sonda nasogástrica longa -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4" s="10" t="str">
        <f>'APÊNDICE II-MEMÓRIA DE CÁLCULO'!E265</f>
        <v>UNIDADE</v>
      </c>
      <c r="F264" s="27">
        <f>'APÊNDICE II-MEMÓRIA DE CÁLCULO'!L265</f>
        <v>20</v>
      </c>
      <c r="G264" s="13">
        <f>'APÊNDICE III - MAPA DE PREÇOS'!X264</f>
        <v>1.27</v>
      </c>
      <c r="H264" s="13">
        <f t="shared" si="4"/>
        <v>25.4</v>
      </c>
    </row>
    <row r="265" spans="1:8" ht="132" x14ac:dyDescent="0.3">
      <c r="A265" s="1">
        <v>261</v>
      </c>
      <c r="B265" s="10">
        <f>'APÊNDICE II-MEMÓRIA DE CÁLCULO'!B266</f>
        <v>12531</v>
      </c>
      <c r="C265" s="10">
        <f>'APÊNDICE II-MEMÓRIA DE CÁLCULO'!C266</f>
        <v>435908</v>
      </c>
      <c r="D265" s="11" t="str">
        <f>'APÊNDICE II-MEMÓRIA DE CÁLCULO'!D266</f>
        <v>Sonda nasogástrica longa - 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5" s="10" t="str">
        <f>'APÊNDICE II-MEMÓRIA DE CÁLCULO'!E266</f>
        <v>UNIDADE</v>
      </c>
      <c r="F265" s="27">
        <f>'APÊNDICE II-MEMÓRIA DE CÁLCULO'!L266</f>
        <v>20</v>
      </c>
      <c r="G265" s="13">
        <f>'APÊNDICE III - MAPA DE PREÇOS'!X265</f>
        <v>1.53</v>
      </c>
      <c r="H265" s="13">
        <f t="shared" si="4"/>
        <v>30.6</v>
      </c>
    </row>
    <row r="266" spans="1:8" ht="143.25" customHeight="1" x14ac:dyDescent="0.3">
      <c r="A266" s="1">
        <v>262</v>
      </c>
      <c r="B266" s="10">
        <f>'APÊNDICE II-MEMÓRIA DE CÁLCULO'!B267</f>
        <v>12532</v>
      </c>
      <c r="C266" s="10">
        <f>'APÊNDICE II-MEMÓRIA DE CÁLCULO'!C267</f>
        <v>435909</v>
      </c>
      <c r="D266" s="11" t="str">
        <f>'APÊNDICE II-MEMÓRIA DE CÁLCULO'!D267</f>
        <v>Sonda nasogástrica longa - 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6" s="10" t="str">
        <f>'APÊNDICE II-MEMÓRIA DE CÁLCULO'!E267</f>
        <v>UNIDADE</v>
      </c>
      <c r="F266" s="27">
        <f>'APÊNDICE II-MEMÓRIA DE CÁLCULO'!L267</f>
        <v>20</v>
      </c>
      <c r="G266" s="13">
        <f>'APÊNDICE III - MAPA DE PREÇOS'!X266</f>
        <v>1.84</v>
      </c>
      <c r="H266" s="13">
        <f t="shared" si="4"/>
        <v>36.800000000000004</v>
      </c>
    </row>
    <row r="267" spans="1:8" ht="132" x14ac:dyDescent="0.3">
      <c r="A267" s="1">
        <v>263</v>
      </c>
      <c r="B267" s="10">
        <f>'APÊNDICE II-MEMÓRIA DE CÁLCULO'!B268</f>
        <v>12533</v>
      </c>
      <c r="C267" s="10">
        <f>'APÊNDICE II-MEMÓRIA DE CÁLCULO'!C268</f>
        <v>435910</v>
      </c>
      <c r="D267" s="11" t="str">
        <f>'APÊNDICE II-MEMÓRIA DE CÁLCULO'!D268</f>
        <v>Sonda nasogástrica longa - 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7" s="10" t="str">
        <f>'APÊNDICE II-MEMÓRIA DE CÁLCULO'!E268</f>
        <v>UNIDADE</v>
      </c>
      <c r="F267" s="27">
        <f>'APÊNDICE II-MEMÓRIA DE CÁLCULO'!L268</f>
        <v>20</v>
      </c>
      <c r="G267" s="13">
        <f>'APÊNDICE III - MAPA DE PREÇOS'!X267</f>
        <v>1.64</v>
      </c>
      <c r="H267" s="13">
        <f t="shared" si="4"/>
        <v>32.799999999999997</v>
      </c>
    </row>
    <row r="268" spans="1:8" ht="132" x14ac:dyDescent="0.3">
      <c r="A268" s="1">
        <v>264</v>
      </c>
      <c r="B268" s="10">
        <f>'APÊNDICE II-MEMÓRIA DE CÁLCULO'!B269</f>
        <v>12534</v>
      </c>
      <c r="C268" s="10">
        <f>'APÊNDICE II-MEMÓRIA DE CÁLCULO'!C269</f>
        <v>435911</v>
      </c>
      <c r="D268" s="11" t="str">
        <f>'APÊNDICE II-MEMÓRIA DE CÁLCULO'!D269</f>
        <v>Sonda nasogástrica longa - tamanho: Nº 20,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8" s="10" t="str">
        <f>'APÊNDICE II-MEMÓRIA DE CÁLCULO'!E269</f>
        <v>UNIDADE</v>
      </c>
      <c r="F268" s="27">
        <f>'APÊNDICE II-MEMÓRIA DE CÁLCULO'!L269</f>
        <v>20</v>
      </c>
      <c r="G268" s="13">
        <f>'APÊNDICE III - MAPA DE PREÇOS'!X268</f>
        <v>2.08</v>
      </c>
      <c r="H268" s="13">
        <f t="shared" si="4"/>
        <v>41.6</v>
      </c>
    </row>
    <row r="269" spans="1:8" ht="132" x14ac:dyDescent="0.3">
      <c r="A269" s="1">
        <v>265</v>
      </c>
      <c r="B269" s="10">
        <f>'APÊNDICE II-MEMÓRIA DE CÁLCULO'!B270</f>
        <v>12535</v>
      </c>
      <c r="C269" s="10">
        <f>'APÊNDICE II-MEMÓRIA DE CÁLCULO'!C270</f>
        <v>435912</v>
      </c>
      <c r="D269" s="11" t="str">
        <f>'APÊNDICE II-MEMÓRIA DE CÁLCULO'!D270</f>
        <v>Sonda nasogástrica longa - 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9" s="10" t="str">
        <f>'APÊNDICE II-MEMÓRIA DE CÁLCULO'!E270</f>
        <v>UNIDADE</v>
      </c>
      <c r="F269" s="27">
        <f>'APÊNDICE II-MEMÓRIA DE CÁLCULO'!L270</f>
        <v>20</v>
      </c>
      <c r="G269" s="13">
        <f>'APÊNDICE III - MAPA DE PREÇOS'!X269</f>
        <v>2.2000000000000002</v>
      </c>
      <c r="H269" s="13">
        <f t="shared" si="4"/>
        <v>44</v>
      </c>
    </row>
    <row r="270" spans="1:8" ht="181.5" x14ac:dyDescent="0.3">
      <c r="A270" s="1">
        <v>266</v>
      </c>
      <c r="B270" s="10">
        <f>'APÊNDICE II-MEMÓRIA DE CÁLCULO'!B271</f>
        <v>12536</v>
      </c>
      <c r="C270" s="10">
        <f>'APÊNDICE II-MEMÓRIA DE CÁLCULO'!C271</f>
        <v>436013</v>
      </c>
      <c r="D270" s="11" t="str">
        <f>'APÊNDICE II-MEMÓRIA DE CÁLCULO'!D271</f>
        <v>Sonda para alimentação enteral (nesoenteral) - calibre: 12G, material: poliuretano, caracterísiticas adicionais: com guia, bio-compatível, macia e flexível, radiopaca, com marcas de medida em toda a sua extensão, duas aberturas opostas na ogiva, mandril flexível em aço inoxidável, conexão universal estéril. Embalagem individual em papel grau cirúrgico e/ou filme termoplástico, com abertura em pétala, com dados de identificação e procedência, data e tipo de esterilização, prazo de validade e registro em órgão competente</v>
      </c>
      <c r="E270" s="10" t="str">
        <f>'APÊNDICE II-MEMÓRIA DE CÁLCULO'!E271</f>
        <v>UNIDADE</v>
      </c>
      <c r="F270" s="27">
        <f>'APÊNDICE II-MEMÓRIA DE CÁLCULO'!L271</f>
        <v>100</v>
      </c>
      <c r="G270" s="13">
        <f>'APÊNDICE III - MAPA DE PREÇOS'!X270</f>
        <v>12.25</v>
      </c>
      <c r="H270" s="13">
        <f t="shared" si="4"/>
        <v>1225</v>
      </c>
    </row>
    <row r="271" spans="1:8" ht="181.5" x14ac:dyDescent="0.3">
      <c r="A271" s="1">
        <v>267</v>
      </c>
      <c r="B271" s="10">
        <f>'APÊNDICE II-MEMÓRIA DE CÁLCULO'!B272</f>
        <v>12537</v>
      </c>
      <c r="C271" s="10">
        <f>'APÊNDICE II-MEMÓRIA DE CÁLCULO'!C272</f>
        <v>436838</v>
      </c>
      <c r="D271" s="11" t="str">
        <f>'APÊNDICE II-MEMÓRIA DE CÁLCULO'!D272</f>
        <v>Saco de polietileno transparente - STAND-UP (fica em pé), estéril ( certificado), descartável, aprovado pela USEPA e standard methods. Utilizado para coleta de amostras de água. Cada saco contém 1 comprimido de 10mg de tiosulfato de sódio. Volume do saco 100mL, medidas aproximadas: 25x17cm. Prazo de validade 60 meses contados da data de fabricação. A temperatura de armazenamento recomendada é entre 10 e 25oC..Embalagem plástica individual, constando os dados de identificação, procedência e rastreabilidade.</v>
      </c>
      <c r="E271" s="10" t="str">
        <f>'APÊNDICE II-MEMÓRIA DE CÁLCULO'!E272</f>
        <v>UNIDADE</v>
      </c>
      <c r="F271" s="27">
        <f>'APÊNDICE II-MEMÓRIA DE CÁLCULO'!L272</f>
        <v>5000</v>
      </c>
      <c r="G271" s="13">
        <f>'APÊNDICE III - MAPA DE PREÇOS'!X271</f>
        <v>2.5099999999999998</v>
      </c>
      <c r="H271" s="13">
        <f t="shared" si="4"/>
        <v>12549.999999999998</v>
      </c>
    </row>
    <row r="272" spans="1:8" ht="198" x14ac:dyDescent="0.3">
      <c r="A272" s="1">
        <v>268</v>
      </c>
      <c r="B272" s="10">
        <f>'APÊNDICE II-MEMÓRIA DE CÁLCULO'!B273</f>
        <v>12539</v>
      </c>
      <c r="C272" s="10">
        <f>'APÊNDICE II-MEMÓRIA DE CÁLCULO'!C273</f>
        <v>436004</v>
      </c>
      <c r="D272" s="11" t="str">
        <f>'APÊNDICE II-MEMÓRIA DE CÁLCULO'!D273</f>
        <v>Sonda trato urinário - modelo: Foley, calibre: Nº 22,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2" s="10" t="str">
        <f>'APÊNDICE II-MEMÓRIA DE CÁLCULO'!E273</f>
        <v>UNIDADE</v>
      </c>
      <c r="F272" s="27">
        <f>'APÊNDICE II-MEMÓRIA DE CÁLCULO'!L273</f>
        <v>10</v>
      </c>
      <c r="G272" s="13">
        <f>'APÊNDICE III - MAPA DE PREÇOS'!X272</f>
        <v>5.44</v>
      </c>
      <c r="H272" s="13">
        <f t="shared" si="4"/>
        <v>54.400000000000006</v>
      </c>
    </row>
    <row r="273" spans="1:8" ht="198" x14ac:dyDescent="0.3">
      <c r="A273" s="1">
        <v>269</v>
      </c>
      <c r="B273" s="10">
        <f>'APÊNDICE II-MEMÓRIA DE CÁLCULO'!B274</f>
        <v>12538</v>
      </c>
      <c r="C273" s="10">
        <f>'APÊNDICE II-MEMÓRIA DE CÁLCULO'!C274</f>
        <v>436838</v>
      </c>
      <c r="D273" s="11" t="str">
        <f>'APÊNDICE II-MEMÓRIA DE CÁLCULO'!D274</f>
        <v>Sonda trato urinário - modelo: Foley, calibre: Nº 20,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3" s="10" t="str">
        <f>'APÊNDICE II-MEMÓRIA DE CÁLCULO'!E274</f>
        <v>UNIDADE</v>
      </c>
      <c r="F273" s="27">
        <f>'APÊNDICE II-MEMÓRIA DE CÁLCULO'!L274</f>
        <v>10</v>
      </c>
      <c r="G273" s="13">
        <f>'APÊNDICE III - MAPA DE PREÇOS'!X273</f>
        <v>5.17</v>
      </c>
      <c r="H273" s="13">
        <f t="shared" si="4"/>
        <v>51.7</v>
      </c>
    </row>
    <row r="274" spans="1:8" ht="198" x14ac:dyDescent="0.3">
      <c r="A274" s="1">
        <v>270</v>
      </c>
      <c r="B274" s="10">
        <f>'APÊNDICE II-MEMÓRIA DE CÁLCULO'!B275</f>
        <v>12540</v>
      </c>
      <c r="C274" s="10">
        <f>'APÊNDICE II-MEMÓRIA DE CÁLCULO'!C275</f>
        <v>436012</v>
      </c>
      <c r="D274" s="11" t="str">
        <f>'APÊNDICE II-MEMÓRIA DE CÁLCULO'!D275</f>
        <v>Sonda trato urinário - modelo: Foley, calibre: Nº 18,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4" s="10" t="str">
        <f>'APÊNDICE II-MEMÓRIA DE CÁLCULO'!E275</f>
        <v>UNIDADE</v>
      </c>
      <c r="F274" s="27">
        <f>'APÊNDICE II-MEMÓRIA DE CÁLCULO'!L275</f>
        <v>10</v>
      </c>
      <c r="G274" s="13">
        <f>'APÊNDICE III - MAPA DE PREÇOS'!X274</f>
        <v>3.92</v>
      </c>
      <c r="H274" s="13">
        <f t="shared" si="4"/>
        <v>39.200000000000003</v>
      </c>
    </row>
    <row r="275" spans="1:8" ht="198" x14ac:dyDescent="0.3">
      <c r="A275" s="1">
        <v>271</v>
      </c>
      <c r="B275" s="10">
        <f>'APÊNDICE II-MEMÓRIA DE CÁLCULO'!B276</f>
        <v>12541</v>
      </c>
      <c r="C275" s="10">
        <f>'APÊNDICE II-MEMÓRIA DE CÁLCULO'!C276</f>
        <v>457480</v>
      </c>
      <c r="D275" s="11" t="str">
        <f>'APÊNDICE II-MEMÓRIA DE CÁLCULO'!D276</f>
        <v>Sonda trato urinário - modelo: Foley, calibre: Nº 16,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5" s="10" t="str">
        <f>'APÊNDICE II-MEMÓRIA DE CÁLCULO'!E276</f>
        <v>UNIDADE</v>
      </c>
      <c r="F275" s="27">
        <f>'APÊNDICE II-MEMÓRIA DE CÁLCULO'!L276</f>
        <v>10</v>
      </c>
      <c r="G275" s="13">
        <f>'APÊNDICE III - MAPA DE PREÇOS'!X275</f>
        <v>3.49</v>
      </c>
      <c r="H275" s="13">
        <f t="shared" si="4"/>
        <v>34.900000000000006</v>
      </c>
    </row>
    <row r="276" spans="1:8" ht="115.5" x14ac:dyDescent="0.3">
      <c r="A276" s="1">
        <v>272</v>
      </c>
      <c r="B276" s="10">
        <f>'APÊNDICE II-MEMÓRIA DE CÁLCULO'!B277</f>
        <v>12542</v>
      </c>
      <c r="C276" s="10">
        <f>'APÊNDICE II-MEMÓRIA DE CÁLCULO'!C277</f>
        <v>459110</v>
      </c>
      <c r="D276" s="11" t="str">
        <f>'APÊNDICE II-MEMÓRIA DE CÁLCULO'!D277</f>
        <v>Touca hospitalar - tipo uso: descartável, material: não tecido 100% polipropileno, tamanho: único, gramatura: cerca de 30 G/M2, características adicionais: micro perfurada, atóxica, inodora, unissex, hipoalergênica, com elástico em toda sua extensão. Embalagem contendo externamente dados de identificação e procedência.</v>
      </c>
      <c r="E276" s="10" t="str">
        <f>'APÊNDICE II-MEMÓRIA DE CÁLCULO'!E277</f>
        <v>UNIDADE</v>
      </c>
      <c r="F276" s="27">
        <f>'APÊNDICE II-MEMÓRIA DE CÁLCULO'!L277</f>
        <v>20600</v>
      </c>
      <c r="G276" s="13">
        <f>'APÊNDICE III - MAPA DE PREÇOS'!X276</f>
        <v>0.08</v>
      </c>
      <c r="H276" s="13">
        <f t="shared" si="4"/>
        <v>1648</v>
      </c>
    </row>
    <row r="277" spans="1:8" ht="132" x14ac:dyDescent="0.3">
      <c r="A277" s="1">
        <v>273</v>
      </c>
      <c r="B277" s="10">
        <f>'APÊNDICE II-MEMÓRIA DE CÁLCULO'!B278</f>
        <v>12543</v>
      </c>
      <c r="C277" s="10" t="str">
        <f>'APÊNDICE II-MEMÓRIA DE CÁLCULO'!C278</f>
        <v>-</v>
      </c>
      <c r="D277" s="11" t="str">
        <f>'APÊNDICE II-MEMÓRIA DE CÁLCULO'!D278</f>
        <v>Torneira, tipo: 3 vias - uso: descartável, tipo conectores: luer lock universal, com conexão rotativa, estrutura transparente, com tampa e orientador de fluxo direcionado, estéril. Embalagem individual de papel grau cirúrgico e/ou filme termoplástico, constando dados de identificação e procedência, data e tipo de esterilização, prazo de validade e registro em órgão competente.</v>
      </c>
      <c r="E277" s="10" t="str">
        <f>'APÊNDICE II-MEMÓRIA DE CÁLCULO'!E278</f>
        <v>UNIDADE</v>
      </c>
      <c r="F277" s="27">
        <f>'APÊNDICE II-MEMÓRIA DE CÁLCULO'!L278</f>
        <v>5000</v>
      </c>
      <c r="G277" s="13">
        <f>'APÊNDICE III - MAPA DE PREÇOS'!X277</f>
        <v>1.06</v>
      </c>
      <c r="H277" s="13">
        <f t="shared" si="4"/>
        <v>5300</v>
      </c>
    </row>
    <row r="278" spans="1:8" ht="148.5" x14ac:dyDescent="0.3">
      <c r="A278" s="1">
        <v>274</v>
      </c>
      <c r="B278" s="10">
        <f>'APÊNDICE II-MEMÓRIA DE CÁLCULO'!B279</f>
        <v>12544</v>
      </c>
      <c r="C278" s="10">
        <f>'APÊNDICE II-MEMÓRIA DE CÁLCULO'!C279</f>
        <v>459098</v>
      </c>
      <c r="D278" s="11" t="str">
        <f>'APÊNDICE II-MEMÓRIA DE CÁLCULO'!D279</f>
        <v xml:space="preserve">Tubo hospitalar - material: silicone, tamanho: Nº 204, apresentação: rolo com 15 metros, características adicionais: para aspiração, atóxico, flexível, transparente, descartável com diâmetro interno e espessura de parede uniformes, estéril. Embalagem individual, contendo externamente dados de identificação e procedência, data e tipo de esterilização, prazo de validade e registro em órgão competente. </v>
      </c>
      <c r="E278" s="10" t="str">
        <f>'APÊNDICE II-MEMÓRIA DE CÁLCULO'!E279</f>
        <v>ROLO</v>
      </c>
      <c r="F278" s="27">
        <f>'APÊNDICE II-MEMÓRIA DE CÁLCULO'!L279</f>
        <v>100</v>
      </c>
      <c r="G278" s="13">
        <f>'APÊNDICE III - MAPA DE PREÇOS'!X278</f>
        <v>149.75</v>
      </c>
      <c r="H278" s="13">
        <f t="shared" si="4"/>
        <v>14975</v>
      </c>
    </row>
    <row r="279" spans="1:8" ht="132" x14ac:dyDescent="0.3">
      <c r="A279" s="1">
        <v>275</v>
      </c>
      <c r="B279" s="10">
        <f>'APÊNDICE II-MEMÓRIA DE CÁLCULO'!B280</f>
        <v>12545</v>
      </c>
      <c r="C279" s="10">
        <f>'APÊNDICE II-MEMÓRIA DE CÁLCULO'!C280</f>
        <v>459103</v>
      </c>
      <c r="D279" s="11" t="str">
        <f>'APÊNDICE II-MEMÓRIA DE CÁLCULO'!D280</f>
        <v xml:space="preserve">Tubo hospitalar - material: borracha de látex natural, tamanho: Nº 200, dimensões: diâmetro externo 5,5 mm e interno de 3,0 mm, apresentação: rolo com 15 metros, características adicionais: alta resistência a temperatura,apresentação em tubos, na cor amarela. Embalagem contendo externamente dados de identificação e procedência, data de fabricação e registro em órgão competente. </v>
      </c>
      <c r="E279" s="10" t="str">
        <f>'APÊNDICE II-MEMÓRIA DE CÁLCULO'!E280</f>
        <v>PACOTE</v>
      </c>
      <c r="F279" s="27">
        <f>'APÊNDICE II-MEMÓRIA DE CÁLCULO'!L280</f>
        <v>10</v>
      </c>
      <c r="G279" s="13">
        <f>'APÊNDICE III - MAPA DE PREÇOS'!X279</f>
        <v>37.770000000000003</v>
      </c>
      <c r="H279" s="13">
        <f t="shared" si="4"/>
        <v>377.70000000000005</v>
      </c>
    </row>
    <row r="280" spans="1:8" ht="82.5" x14ac:dyDescent="0.3">
      <c r="A280" s="1">
        <v>276</v>
      </c>
      <c r="B280" s="10">
        <f>'APÊNDICE II-MEMÓRIA DE CÁLCULO'!B281</f>
        <v>12546</v>
      </c>
      <c r="C280" s="10">
        <f>'APÊNDICE II-MEMÓRIA DE CÁLCULO'!C281</f>
        <v>435801</v>
      </c>
      <c r="D280" s="11" t="str">
        <f>'APÊNDICE II-MEMÓRIA DE CÁLCULO'!D281</f>
        <v>Termômetro clínico - tipo: digital, tipo uso: axilar e oral, características adicionais: uniforme e fácil leitura. Embalagem protetora individual contendo externamente dados de identificação e procedência, lote e registro em órgão competente.</v>
      </c>
      <c r="E280" s="10" t="str">
        <f>'APÊNDICE II-MEMÓRIA DE CÁLCULO'!E281</f>
        <v>UNIDADE</v>
      </c>
      <c r="F280" s="27">
        <f>'APÊNDICE II-MEMÓRIA DE CÁLCULO'!L281</f>
        <v>26</v>
      </c>
      <c r="G280" s="13">
        <f>'APÊNDICE III - MAPA DE PREÇOS'!X280</f>
        <v>16.32</v>
      </c>
      <c r="H280" s="13">
        <f t="shared" si="4"/>
        <v>424.32</v>
      </c>
    </row>
    <row r="281" spans="1:8" ht="132" x14ac:dyDescent="0.3">
      <c r="A281" s="1">
        <v>277</v>
      </c>
      <c r="B281" s="10">
        <f>'APÊNDICE II-MEMÓRIA DE CÁLCULO'!B282</f>
        <v>12547</v>
      </c>
      <c r="C281" s="10">
        <f>'APÊNDICE II-MEMÓRIA DE CÁLCULO'!C282</f>
        <v>452244</v>
      </c>
      <c r="D281" s="11" t="str">
        <f>'APÊNDICE II-MEMÓRIA DE CÁLCULO'!D282</f>
        <v>Tala de imobilização - tamanho: PP, dimensões: 30 x 8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v>
      </c>
      <c r="E281" s="10" t="str">
        <f>'APÊNDICE II-MEMÓRIA DE CÁLCULO'!E282</f>
        <v>UNIDADE</v>
      </c>
      <c r="F281" s="27">
        <f>'APÊNDICE II-MEMÓRIA DE CÁLCULO'!L282</f>
        <v>50</v>
      </c>
      <c r="G281" s="13">
        <f>'APÊNDICE III - MAPA DE PREÇOS'!X281</f>
        <v>13.55</v>
      </c>
      <c r="H281" s="13">
        <f t="shared" si="4"/>
        <v>677.5</v>
      </c>
    </row>
    <row r="282" spans="1:8" ht="132" x14ac:dyDescent="0.3">
      <c r="A282" s="1">
        <v>278</v>
      </c>
      <c r="B282" s="10">
        <f>'APÊNDICE II-MEMÓRIA DE CÁLCULO'!B283</f>
        <v>12548</v>
      </c>
      <c r="C282" s="10" t="str">
        <f>'APÊNDICE II-MEMÓRIA DE CÁLCULO'!C283</f>
        <v>-</v>
      </c>
      <c r="D282" s="11" t="str">
        <f>'APÊNDICE II-MEMÓRIA DE CÁLCULO'!D283</f>
        <v>Tala de imobilização - tamanho: G, dimensões: 86 x 10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v>
      </c>
      <c r="E282" s="10" t="str">
        <f>'APÊNDICE II-MEMÓRIA DE CÁLCULO'!E283</f>
        <v>UNIDADE</v>
      </c>
      <c r="F282" s="27">
        <f>'APÊNDICE II-MEMÓRIA DE CÁLCULO'!L283</f>
        <v>300</v>
      </c>
      <c r="G282" s="13">
        <f>'APÊNDICE III - MAPA DE PREÇOS'!X282</f>
        <v>15.29</v>
      </c>
      <c r="H282" s="13">
        <f t="shared" si="4"/>
        <v>4587</v>
      </c>
    </row>
    <row r="283" spans="1:8" ht="82.5" x14ac:dyDescent="0.3">
      <c r="A283" s="1">
        <v>279</v>
      </c>
      <c r="B283" s="10">
        <f>'APÊNDICE II-MEMÓRIA DE CÁLCULO'!B284</f>
        <v>12549</v>
      </c>
      <c r="C283" s="10">
        <f>'APÊNDICE II-MEMÓRIA DE CÁLCULO'!C284</f>
        <v>471445</v>
      </c>
      <c r="D283" s="11" t="str">
        <f>'APÊNDICE II-MEMÓRIA DE CÁLCULO'!D284</f>
        <v xml:space="preserve">Tesoura instrumental - tipo: ortopédica, modelo: Lister, tamanho: 19 cm, material: aço inoxidável, esterilidade: esterilizável,  embalagem primária contendo identificação, número do lote, mês, ano de fabricação e validade, e registro em órgão competente. </v>
      </c>
      <c r="E283" s="10" t="str">
        <f>'APÊNDICE II-MEMÓRIA DE CÁLCULO'!E284</f>
        <v>UNIDADE</v>
      </c>
      <c r="F283" s="27">
        <f>'APÊNDICE II-MEMÓRIA DE CÁLCULO'!L284</f>
        <v>5</v>
      </c>
      <c r="G283" s="13">
        <f>'APÊNDICE III - MAPA DE PREÇOS'!X283</f>
        <v>79.930000000000007</v>
      </c>
      <c r="H283" s="13">
        <f t="shared" si="4"/>
        <v>399.65000000000003</v>
      </c>
    </row>
    <row r="284" spans="1:8" ht="115.5" x14ac:dyDescent="0.3">
      <c r="A284" s="1">
        <v>280</v>
      </c>
      <c r="B284" s="10">
        <f>'APÊNDICE II-MEMÓRIA DE CÁLCULO'!B285</f>
        <v>12550</v>
      </c>
      <c r="C284" s="10">
        <f>'APÊNDICE II-MEMÓRIA DE CÁLCULO'!C285</f>
        <v>471592</v>
      </c>
      <c r="D284" s="11" t="str">
        <f>'APÊNDICE II-MEMÓRIA DE CÁLCULO'!D285</f>
        <v>Tesoura instrumental - modelo: Spencer, comprimento: cerca de 10 cm, tipo ponta: reta, material: aço inoxidável, esterilidade: esterilizável, uso: para retirar pontos, características adicionais: embalagem plástica individual, constando os dados de identificação, procedência, rastreabilidade e registro em órgão competente.</v>
      </c>
      <c r="E284" s="10" t="str">
        <f>'APÊNDICE II-MEMÓRIA DE CÁLCULO'!E285</f>
        <v>UNIDADE</v>
      </c>
      <c r="F284" s="27">
        <f>'APÊNDICE II-MEMÓRIA DE CÁLCULO'!L285</f>
        <v>5</v>
      </c>
      <c r="G284" s="13">
        <f>'APÊNDICE III - MAPA DE PREÇOS'!X284</f>
        <v>50.22</v>
      </c>
      <c r="H284" s="13">
        <f t="shared" si="4"/>
        <v>251.1</v>
      </c>
    </row>
    <row r="285" spans="1:8" ht="115.5" x14ac:dyDescent="0.3">
      <c r="A285" s="1">
        <v>281</v>
      </c>
      <c r="B285" s="10">
        <f>'APÊNDICE II-MEMÓRIA DE CÁLCULO'!B286</f>
        <v>12551</v>
      </c>
      <c r="C285" s="10">
        <f>'APÊNDICE II-MEMÓRIA DE CÁLCULO'!C286</f>
        <v>471593</v>
      </c>
      <c r="D285" s="11" t="str">
        <f>'APÊNDICE II-MEMÓRIA DE CÁLCULO'!D286</f>
        <v>Tesoura instrumental - modelo: Spencer, tamanho: 12 cm, tipo ponta: reta, material: aço inoxidável, esterilidade: esterilizável, uso: para retirar pontos, características adicionais: embalagem plástica individual, constando os dados de identificação, procedência, rastreabilidade e registro em órgão competente.</v>
      </c>
      <c r="E285" s="10" t="str">
        <f>'APÊNDICE II-MEMÓRIA DE CÁLCULO'!E286</f>
        <v>UNIDADE</v>
      </c>
      <c r="F285" s="27">
        <f>'APÊNDICE II-MEMÓRIA DE CÁLCULO'!L286</f>
        <v>5</v>
      </c>
      <c r="G285" s="13">
        <f>'APÊNDICE III - MAPA DE PREÇOS'!X285</f>
        <v>44.78</v>
      </c>
      <c r="H285" s="13">
        <f t="shared" si="4"/>
        <v>223.9</v>
      </c>
    </row>
    <row r="286" spans="1:8" ht="115.5" x14ac:dyDescent="0.3">
      <c r="A286" s="1">
        <v>282</v>
      </c>
      <c r="B286" s="10">
        <f>'APÊNDICE II-MEMÓRIA DE CÁLCULO'!B287</f>
        <v>12552</v>
      </c>
      <c r="C286" s="10">
        <f>'APÊNDICE II-MEMÓRIA DE CÁLCULO'!C287</f>
        <v>471594</v>
      </c>
      <c r="D286" s="11" t="str">
        <f>'APÊNDICE II-MEMÓRIA DE CÁLCULO'!D287</f>
        <v>Tesoura instrumental - modelo: Spencer, tamanho: 14 cm, tipo ponta: reta, material: aço inoxidável, esterilidade: esterilizável, uso: para retirar pontos, características adicionais: embalagem plástica individual, constando os dados de identificação, procedência, rastreabilidade e registro em órgão competente.</v>
      </c>
      <c r="E286" s="10" t="str">
        <f>'APÊNDICE II-MEMÓRIA DE CÁLCULO'!E287</f>
        <v>UNIDADE</v>
      </c>
      <c r="F286" s="27">
        <f>'APÊNDICE II-MEMÓRIA DE CÁLCULO'!L287</f>
        <v>5</v>
      </c>
      <c r="G286" s="13">
        <f>'APÊNDICE III - MAPA DE PREÇOS'!X286</f>
        <v>49.6</v>
      </c>
      <c r="H286" s="13">
        <f t="shared" si="4"/>
        <v>248</v>
      </c>
    </row>
    <row r="287" spans="1:8" ht="115.5" x14ac:dyDescent="0.3">
      <c r="A287" s="1">
        <v>283</v>
      </c>
      <c r="B287" s="10">
        <f>'APÊNDICE II-MEMÓRIA DE CÁLCULO'!B288</f>
        <v>12553</v>
      </c>
      <c r="C287" s="10">
        <f>'APÊNDICE II-MEMÓRIA DE CÁLCULO'!C288</f>
        <v>471492</v>
      </c>
      <c r="D287" s="11" t="str">
        <f>'APÊNDICE II-MEMÓRIA DE CÁLCULO'!D288</f>
        <v>Tesoura instrumental - modelo: Mayo, tamanho: 15 cm, tipo ponta: reta, romba fina, material: aço inoxidável AISI-420, esterilidade: esterilizável, uso: para retirar pontos, características adicionais: embalagem plástica individual, constando os dados de identificação, procedência, rastreabilidade e registro em órgão competente.</v>
      </c>
      <c r="E287" s="10" t="str">
        <f>'APÊNDICE II-MEMÓRIA DE CÁLCULO'!E288</f>
        <v>UNIDADE</v>
      </c>
      <c r="F287" s="27">
        <f>'APÊNDICE II-MEMÓRIA DE CÁLCULO'!L288</f>
        <v>5</v>
      </c>
      <c r="G287" s="13">
        <f>'APÊNDICE III - MAPA DE PREÇOS'!X287</f>
        <v>39.56</v>
      </c>
      <c r="H287" s="13">
        <f t="shared" si="4"/>
        <v>197.8</v>
      </c>
    </row>
    <row r="288" spans="1:8" ht="115.5" x14ac:dyDescent="0.3">
      <c r="A288" s="1">
        <v>284</v>
      </c>
      <c r="B288" s="10">
        <f>'APÊNDICE II-MEMÓRIA DE CÁLCULO'!B289</f>
        <v>12554</v>
      </c>
      <c r="C288" s="10">
        <f>'APÊNDICE II-MEMÓRIA DE CÁLCULO'!C289</f>
        <v>471498</v>
      </c>
      <c r="D288" s="11" t="str">
        <f>'APÊNDICE II-MEMÓRIA DE CÁLCULO'!D289</f>
        <v>Tesoura instrumental - modelo: Mayo, tamanho: 18 cm, tipo ponta: reta, romba fina, material: aço inoxidável AISI-420, esterilidade: esterilizável, uso: para retirar pontos, características adicionais: embalagem plástica individual, constando os dados de identificação, procedência, rastreabilidade e registro em órgão competente.</v>
      </c>
      <c r="E288" s="10" t="str">
        <f>'APÊNDICE II-MEMÓRIA DE CÁLCULO'!E289</f>
        <v>UNIDADE</v>
      </c>
      <c r="F288" s="27">
        <f>'APÊNDICE II-MEMÓRIA DE CÁLCULO'!L289</f>
        <v>5</v>
      </c>
      <c r="G288" s="13">
        <f>'APÊNDICE III - MAPA DE PREÇOS'!X288</f>
        <v>64.58</v>
      </c>
      <c r="H288" s="13">
        <f t="shared" si="4"/>
        <v>322.89999999999998</v>
      </c>
    </row>
    <row r="289" spans="1:8" ht="115.5" x14ac:dyDescent="0.3">
      <c r="A289" s="1">
        <v>285</v>
      </c>
      <c r="B289" s="10">
        <f>'APÊNDICE II-MEMÓRIA DE CÁLCULO'!B290</f>
        <v>12555</v>
      </c>
      <c r="C289" s="10">
        <f>'APÊNDICE II-MEMÓRIA DE CÁLCULO'!C290</f>
        <v>471511</v>
      </c>
      <c r="D289" s="11" t="str">
        <f>'APÊNDICE II-MEMÓRIA DE CÁLCULO'!D290</f>
        <v>Tesoura instrumental - modelo: Metzembaum, tamanho: 15 cm, tipo ponta: reta, material: aço inoxidável AISI-420, esterilidade: esterilizável, características adicionais: embalagem plástica individual, constando os dados de identificação, procedência, rastreabilidade e registro em órgão competente.</v>
      </c>
      <c r="E289" s="10" t="str">
        <f>'APÊNDICE II-MEMÓRIA DE CÁLCULO'!E290</f>
        <v>UNIDADE</v>
      </c>
      <c r="F289" s="27">
        <f>'APÊNDICE II-MEMÓRIA DE CÁLCULO'!L290</f>
        <v>5</v>
      </c>
      <c r="G289" s="13">
        <f>'APÊNDICE III - MAPA DE PREÇOS'!X289</f>
        <v>48.26</v>
      </c>
      <c r="H289" s="13">
        <f t="shared" si="4"/>
        <v>241.29999999999998</v>
      </c>
    </row>
    <row r="290" spans="1:8" ht="115.5" x14ac:dyDescent="0.3">
      <c r="A290" s="1">
        <v>286</v>
      </c>
      <c r="B290" s="10">
        <f>'APÊNDICE II-MEMÓRIA DE CÁLCULO'!B291</f>
        <v>12556</v>
      </c>
      <c r="C290" s="10">
        <f>'APÊNDICE II-MEMÓRIA DE CÁLCULO'!C291</f>
        <v>471513</v>
      </c>
      <c r="D290" s="11" t="str">
        <f>'APÊNDICE II-MEMÓRIA DE CÁLCULO'!D291</f>
        <v>Tesoura instrumental - modelo: Metzembaum, tamanho: 20 cm, tipo ponta: reta, material: aço inoxidável AISI-420, esterilidade: esterilizável, características adicionais: embalagem plástica individual, constando os dados de identificação, procedência, rastreabilidade e registro em órgão competente.</v>
      </c>
      <c r="E290" s="10" t="str">
        <f>'APÊNDICE II-MEMÓRIA DE CÁLCULO'!E291</f>
        <v>UNIDADE</v>
      </c>
      <c r="F290" s="27">
        <f>'APÊNDICE II-MEMÓRIA DE CÁLCULO'!L291</f>
        <v>5</v>
      </c>
      <c r="G290" s="13">
        <f>'APÊNDICE III - MAPA DE PREÇOS'!X290</f>
        <v>68.88</v>
      </c>
      <c r="H290" s="13">
        <f t="shared" si="4"/>
        <v>344.4</v>
      </c>
    </row>
    <row r="291" spans="1:8" ht="99" x14ac:dyDescent="0.3">
      <c r="A291" s="1">
        <v>287</v>
      </c>
      <c r="B291" s="10">
        <f>'APÊNDICE II-MEMÓRIA DE CÁLCULO'!B292</f>
        <v>12557</v>
      </c>
      <c r="C291" s="10" t="str">
        <f>'APÊNDICE II-MEMÓRIA DE CÁLCULO'!C292</f>
        <v xml:space="preserve">471566	</v>
      </c>
      <c r="D291" s="11" t="str">
        <f>'APÊNDICE II-MEMÓRIA DE CÁLCULO'!D292</f>
        <v>Tesoura instrumental - modelo: Íris, tamanho: 12 cm, tipo ponta: romba reta, material: aço inoxidável, esterilidade: esterilizável, características adicionais: embalagem plástica individual, constando os dados de identificação, procedência, rastreabilidade e registro em órgão competente.</v>
      </c>
      <c r="E291" s="10" t="str">
        <f>'APÊNDICE II-MEMÓRIA DE CÁLCULO'!E292</f>
        <v>UNIDADE</v>
      </c>
      <c r="F291" s="27">
        <f>'APÊNDICE II-MEMÓRIA DE CÁLCULO'!L292</f>
        <v>5</v>
      </c>
      <c r="G291" s="13">
        <f>'APÊNDICE III - MAPA DE PREÇOS'!X291</f>
        <v>31.8</v>
      </c>
      <c r="H291" s="13">
        <f t="shared" si="4"/>
        <v>159</v>
      </c>
    </row>
    <row r="292" spans="1:8" ht="115.5" x14ac:dyDescent="0.3">
      <c r="A292" s="1">
        <v>288</v>
      </c>
      <c r="B292" s="10">
        <f>'APÊNDICE II-MEMÓRIA DE CÁLCULO'!B293</f>
        <v>12558</v>
      </c>
      <c r="C292" s="10" t="str">
        <f>'APÊNDICE II-MEMÓRIA DE CÁLCULO'!C293</f>
        <v>-</v>
      </c>
      <c r="D292" s="11" t="str">
        <f>'APÊNDICE II-MEMÓRIA DE CÁLCULO'!D293</f>
        <v>Tesoura instrumental - modelo: Mayo, tamanho: 15 cm, tipo ponta: curva, romba-fina, material: aço inoxidável AISI-420, esterilidade: esterilizável, características adicionais: embalagem plástica individual, constando os dados de identificação, procedência, rastreabilidade e registro em órgão competente.</v>
      </c>
      <c r="E292" s="10" t="str">
        <f>'APÊNDICE II-MEMÓRIA DE CÁLCULO'!E293</f>
        <v>UNIDADE</v>
      </c>
      <c r="F292" s="27">
        <f>'APÊNDICE II-MEMÓRIA DE CÁLCULO'!L293</f>
        <v>5</v>
      </c>
      <c r="G292" s="13">
        <f>'APÊNDICE III - MAPA DE PREÇOS'!X292</f>
        <v>48.18</v>
      </c>
      <c r="H292" s="13">
        <f t="shared" si="4"/>
        <v>240.9</v>
      </c>
    </row>
    <row r="293" spans="1:8" ht="99" x14ac:dyDescent="0.3">
      <c r="A293" s="1">
        <v>289</v>
      </c>
      <c r="B293" s="10">
        <f>'APÊNDICE II-MEMÓRIA DE CÁLCULO'!B294</f>
        <v>12559</v>
      </c>
      <c r="C293" s="10">
        <f>'APÊNDICE II-MEMÓRIA DE CÁLCULO'!C294</f>
        <v>428551</v>
      </c>
      <c r="D293" s="11" t="str">
        <f>'APÊNDICE II-MEMÓRIA DE CÁLCULO'!D294</f>
        <v>Tubo para centrifugação - tipo Eppendorf - 0,5ML. Indicador químico interno, do tipo integrador em conformidade com ISSO 11140-1, que possibilita a monitorização das condições de esterilização às misturas de gás óxido de etileno, no interior das embalagens.</v>
      </c>
      <c r="E293" s="10" t="str">
        <f>'APÊNDICE II-MEMÓRIA DE CÁLCULO'!E294</f>
        <v>UNIDADE</v>
      </c>
      <c r="F293" s="27">
        <f>'APÊNDICE II-MEMÓRIA DE CÁLCULO'!L294</f>
        <v>100</v>
      </c>
      <c r="G293" s="13">
        <f>'APÊNDICE III - MAPA DE PREÇOS'!X293</f>
        <v>0.06</v>
      </c>
      <c r="H293" s="13">
        <f t="shared" si="4"/>
        <v>6</v>
      </c>
    </row>
    <row r="294" spans="1:8" ht="99" x14ac:dyDescent="0.3">
      <c r="A294" s="1">
        <v>290</v>
      </c>
      <c r="B294" s="10">
        <f>'APÊNDICE II-MEMÓRIA DE CÁLCULO'!B295</f>
        <v>12560</v>
      </c>
      <c r="C294" s="10" t="str">
        <f>'APÊNDICE II-MEMÓRIA DE CÁLCULO'!C295</f>
        <v>-</v>
      </c>
      <c r="D294" s="11" t="str">
        <f>'APÊNDICE II-MEMÓRIA DE CÁLCULO'!D295</f>
        <v>Tubo endotraqueal - tamanho: neonatal, calibre: Nº 2,5, material: tubo PVC transparente e estrutura interna reforçada por um fio de aço inoxidável, conector: 2,5 mm, com balão, esterilidade: estéril, uso único, características adicionais: com registro em órgão competente.</v>
      </c>
      <c r="E294" s="10" t="str">
        <f>'APÊNDICE II-MEMÓRIA DE CÁLCULO'!E295</f>
        <v>UNIDADE</v>
      </c>
      <c r="F294" s="27">
        <f>'APÊNDICE II-MEMÓRIA DE CÁLCULO'!L295</f>
        <v>20</v>
      </c>
      <c r="G294" s="13">
        <f>'APÊNDICE III - MAPA DE PREÇOS'!X294</f>
        <v>7.38</v>
      </c>
      <c r="H294" s="13">
        <f t="shared" si="4"/>
        <v>147.6</v>
      </c>
    </row>
    <row r="295" spans="1:8" ht="82.5" x14ac:dyDescent="0.3">
      <c r="A295" s="1">
        <v>291</v>
      </c>
      <c r="B295" s="10">
        <f>'APÊNDICE II-MEMÓRIA DE CÁLCULO'!B296</f>
        <v>12561</v>
      </c>
      <c r="C295" s="10" t="str">
        <f>'APÊNDICE II-MEMÓRIA DE CÁLCULO'!C296</f>
        <v>-</v>
      </c>
      <c r="D295" s="11" t="str">
        <f>'APÊNDICE II-MEMÓRIA DE CÁLCULO'!D296</f>
        <v>Tubo endotraqueal - calibre: Nº 3,0, material: tubo PVC transparente e estrutura interna reforçada por um fio de aço inoxidável, conector: 3,0 mm, com balão, esterilidade: estéril, uso único, características adicionais: com registro em órgão competente.</v>
      </c>
      <c r="E295" s="10" t="str">
        <f>'APÊNDICE II-MEMÓRIA DE CÁLCULO'!E296</f>
        <v>UNIDADE</v>
      </c>
      <c r="F295" s="27">
        <f>'APÊNDICE II-MEMÓRIA DE CÁLCULO'!L296</f>
        <v>20</v>
      </c>
      <c r="G295" s="13">
        <f>'APÊNDICE III - MAPA DE PREÇOS'!X295</f>
        <v>4.17</v>
      </c>
      <c r="H295" s="13">
        <f t="shared" si="4"/>
        <v>83.4</v>
      </c>
    </row>
    <row r="296" spans="1:8" ht="82.5" x14ac:dyDescent="0.3">
      <c r="A296" s="1">
        <v>292</v>
      </c>
      <c r="B296" s="10">
        <f>'APÊNDICE II-MEMÓRIA DE CÁLCULO'!B297</f>
        <v>12562</v>
      </c>
      <c r="C296" s="10">
        <f>'APÊNDICE II-MEMÓRIA DE CÁLCULO'!C297</f>
        <v>451197</v>
      </c>
      <c r="D296" s="11" t="str">
        <f>'APÊNDICE II-MEMÓRIA DE CÁLCULO'!D297</f>
        <v>Tubo endotraqueal - calibre: Nº 3,5, material: tubo PVC transparente e estrutura interna reforçada por um fio de aço inoxidável, conector: 3,5 mm, com balão, esterilidade: estéril, uso único, características adicionais: com registro em órgão competente.</v>
      </c>
      <c r="E296" s="10" t="str">
        <f>'APÊNDICE II-MEMÓRIA DE CÁLCULO'!E297</f>
        <v>UNIDADE</v>
      </c>
      <c r="F296" s="27">
        <f>'APÊNDICE II-MEMÓRIA DE CÁLCULO'!L297</f>
        <v>20</v>
      </c>
      <c r="G296" s="13">
        <f>'APÊNDICE III - MAPA DE PREÇOS'!X296</f>
        <v>4.76</v>
      </c>
      <c r="H296" s="13">
        <f t="shared" si="4"/>
        <v>95.199999999999989</v>
      </c>
    </row>
    <row r="297" spans="1:8" ht="99" x14ac:dyDescent="0.3">
      <c r="A297" s="1">
        <v>293</v>
      </c>
      <c r="B297" s="10">
        <f>'APÊNDICE II-MEMÓRIA DE CÁLCULO'!B298</f>
        <v>12563</v>
      </c>
      <c r="C297" s="10" t="str">
        <f>'APÊNDICE II-MEMÓRIA DE CÁLCULO'!C298</f>
        <v>-</v>
      </c>
      <c r="D297" s="11" t="str">
        <f>'APÊNDICE II-MEMÓRIA DE CÁLCULO'!D298</f>
        <v>Tubos de ensaio - material: vidro de borosilicato, dimensões: 12 x 75 mm, características adicionais: sem aro pirex, com tampas de pressão laboratório, cor transparente, embalagem plástica individual, constando os dados de identificação, procedência e rastreabilidade.</v>
      </c>
      <c r="E297" s="10" t="str">
        <f>'APÊNDICE II-MEMÓRIA DE CÁLCULO'!E298</f>
        <v>UNIDADE</v>
      </c>
      <c r="F297" s="27">
        <f>'APÊNDICE II-MEMÓRIA DE CÁLCULO'!L298</f>
        <v>100</v>
      </c>
      <c r="G297" s="13">
        <f>'APÊNDICE III - MAPA DE PREÇOS'!X297</f>
        <v>0.47</v>
      </c>
      <c r="H297" s="13">
        <f t="shared" si="4"/>
        <v>47</v>
      </c>
    </row>
    <row r="298" spans="1:8" ht="198" x14ac:dyDescent="0.3">
      <c r="A298" s="1">
        <v>294</v>
      </c>
      <c r="B298" s="10">
        <f>'APÊNDICE II-MEMÓRIA DE CÁLCULO'!B299</f>
        <v>12564</v>
      </c>
      <c r="C298" s="10">
        <f>'APÊNDICE II-MEMÓRIA DE CÁLCULO'!C299</f>
        <v>435410</v>
      </c>
      <c r="D298" s="11" t="str">
        <f>'APÊNDICE II-MEMÓRIA DE CÁLCULO'!D299</f>
        <v xml:space="preserve">Umidificador de oxigênio - material: frasco em PVC atóxico ou similar, capacidade mínima: 250 ml, características adicionais: graduado, de forma a permitir uma fácil visualização, tampa de rosca e orifício para saída do oxigênio em plástico resistente ou material similar, de acordo com as normas da ABNT, borboleta de conexão confeccionada externamente em plástico ou similar, e internamente em metal, que proporcione um perfeito encaixe, com sistema de selagem, para evitar vazamentos. Embalagem contendo identificação, mês e ano de fabricação e validade, e registro em órgão competente. </v>
      </c>
      <c r="E298" s="10" t="str">
        <f>'APÊNDICE II-MEMÓRIA DE CÁLCULO'!E299</f>
        <v>UNIDADE</v>
      </c>
      <c r="F298" s="27">
        <f>'APÊNDICE II-MEMÓRIA DE CÁLCULO'!L299</f>
        <v>52</v>
      </c>
      <c r="G298" s="13">
        <f>'APÊNDICE III - MAPA DE PREÇOS'!X298</f>
        <v>19.32</v>
      </c>
      <c r="H298" s="13">
        <f t="shared" si="4"/>
        <v>1004.64</v>
      </c>
    </row>
    <row r="299" spans="1:8" ht="66" x14ac:dyDescent="0.3">
      <c r="A299" s="1">
        <v>295</v>
      </c>
      <c r="B299" s="10">
        <f>'APÊNDICE II-MEMÓRIA DE CÁLCULO'!B300</f>
        <v>12565</v>
      </c>
      <c r="C299" s="10">
        <f>'APÊNDICE II-MEMÓRIA DE CÁLCULO'!C300</f>
        <v>385777</v>
      </c>
      <c r="D299" s="11" t="str">
        <f>'APÊNDICE II-MEMÓRIA DE CÁLCULO'!D300</f>
        <v xml:space="preserve">Urinol masculino - capacidade: 1000 ML, modelo: papagaio, material: inox, aplicação: coletor de urina para pessoas acamadas com dificuldades para locomoção. </v>
      </c>
      <c r="E299" s="10" t="str">
        <f>'APÊNDICE II-MEMÓRIA DE CÁLCULO'!E300</f>
        <v>UNIDADE</v>
      </c>
      <c r="F299" s="27">
        <f>'APÊNDICE II-MEMÓRIA DE CÁLCULO'!L300</f>
        <v>10</v>
      </c>
      <c r="G299" s="13">
        <f>'APÊNDICE III - MAPA DE PREÇOS'!X299</f>
        <v>146.1</v>
      </c>
      <c r="H299" s="13">
        <f t="shared" si="4"/>
        <v>1461</v>
      </c>
    </row>
    <row r="300" spans="1:8" ht="66" x14ac:dyDescent="0.3">
      <c r="A300" s="1">
        <v>296</v>
      </c>
      <c r="B300" s="10">
        <f>'APÊNDICE II-MEMÓRIA DE CÁLCULO'!B301</f>
        <v>12566</v>
      </c>
      <c r="C300" s="10">
        <f>'APÊNDICE II-MEMÓRIA DE CÁLCULO'!C301</f>
        <v>385756</v>
      </c>
      <c r="D300" s="11" t="str">
        <f>'APÊNDICE II-MEMÓRIA DE CÁLCULO'!D301</f>
        <v>Urinol feminino - capacidade mínima: 3,5 L, modelo: comadre estilo pá, material: inox, aplicação: coletor de urina para pessoas acamadas com dificuldades para locomoção.</v>
      </c>
      <c r="E300" s="10" t="str">
        <f>'APÊNDICE II-MEMÓRIA DE CÁLCULO'!E301</f>
        <v>UNIDADE</v>
      </c>
      <c r="F300" s="27">
        <f>'APÊNDICE II-MEMÓRIA DE CÁLCULO'!L301</f>
        <v>10</v>
      </c>
      <c r="G300" s="13">
        <f>'APÊNDICE III - MAPA DE PREÇOS'!X300</f>
        <v>194.49</v>
      </c>
      <c r="H300" s="13">
        <f t="shared" si="4"/>
        <v>1944.9</v>
      </c>
    </row>
    <row r="301" spans="1:8" ht="33" x14ac:dyDescent="0.3">
      <c r="A301" s="1">
        <v>297</v>
      </c>
      <c r="B301" s="10">
        <f>'APÊNDICE II-MEMÓRIA DE CÁLCULO'!B302</f>
        <v>12567</v>
      </c>
      <c r="C301" s="10" t="str">
        <f>'APÊNDICE II-MEMÓRIA DE CÁLCULO'!C302</f>
        <v>-</v>
      </c>
      <c r="D301" s="11" t="str">
        <f>'APÊNDICE II-MEMÓRIA DE CÁLCULO'!D302</f>
        <v>Mini Incubadora - a vapor, com capacidade de incubar 06 indicadores biológicos, voltagem de 220V.</v>
      </c>
      <c r="E301" s="10" t="str">
        <f>'APÊNDICE II-MEMÓRIA DE CÁLCULO'!E302</f>
        <v>UNIDADE</v>
      </c>
      <c r="F301" s="27">
        <f>'APÊNDICE II-MEMÓRIA DE CÁLCULO'!L302</f>
        <v>2</v>
      </c>
      <c r="G301" s="13">
        <f>'APÊNDICE III - MAPA DE PREÇOS'!X301</f>
        <v>137.18</v>
      </c>
      <c r="H301" s="13">
        <f t="shared" si="4"/>
        <v>274.36</v>
      </c>
    </row>
    <row r="302" spans="1:8" ht="66" x14ac:dyDescent="0.3">
      <c r="A302" s="1">
        <v>298</v>
      </c>
      <c r="B302" s="10">
        <f>'APÊNDICE II-MEMÓRIA DE CÁLCULO'!B303</f>
        <v>16607</v>
      </c>
      <c r="C302" s="10">
        <f>'APÊNDICE II-MEMÓRIA DE CÁLCULO'!C303</f>
        <v>436058</v>
      </c>
      <c r="D302" s="11" t="str">
        <f>'APÊNDICE II-MEMÓRIA DE CÁLCULO'!D303</f>
        <v xml:space="preserve">Indicador biológico - para esterilização a vapor, automático, com leitura em 24 horas,  ampola de vidro lacrada e quebrável, contendo data de fabricação, validade, e número de lote. </v>
      </c>
      <c r="E302" s="10" t="str">
        <f>'APÊNDICE II-MEMÓRIA DE CÁLCULO'!E303</f>
        <v>UNIDADE</v>
      </c>
      <c r="F302" s="27">
        <f>'APÊNDICE II-MEMÓRIA DE CÁLCULO'!L303</f>
        <v>720</v>
      </c>
      <c r="G302" s="13">
        <f>'APÊNDICE III - MAPA DE PREÇOS'!X302</f>
        <v>4.68</v>
      </c>
      <c r="H302" s="13">
        <f t="shared" si="4"/>
        <v>3369.6</v>
      </c>
    </row>
    <row r="303" spans="1:8" ht="66" x14ac:dyDescent="0.3">
      <c r="A303" s="1">
        <v>299</v>
      </c>
      <c r="B303" s="10">
        <f>'APÊNDICE II-MEMÓRIA DE CÁLCULO'!B304</f>
        <v>12569</v>
      </c>
      <c r="C303" s="10">
        <f>'APÊNDICE II-MEMÓRIA DE CÁLCULO'!C304</f>
        <v>301510</v>
      </c>
      <c r="D303" s="11" t="str">
        <f>'APÊNDICE II-MEMÓRIA DE CÁLCULO'!D304</f>
        <v xml:space="preserve">Cal sodada (absorvidor de co²) - aspecto físico granulado, cor branca, uso anestesia.Embalagem com  no mínimo 4,5 kg, contendo registro no ministério da saúde. </v>
      </c>
      <c r="E303" s="10" t="str">
        <f>'APÊNDICE II-MEMÓRIA DE CÁLCULO'!E304</f>
        <v>UNIDADE</v>
      </c>
      <c r="F303" s="27">
        <f>'APÊNDICE II-MEMÓRIA DE CÁLCULO'!L304</f>
        <v>10</v>
      </c>
      <c r="G303" s="13">
        <f>'APÊNDICE III - MAPA DE PREÇOS'!X303</f>
        <v>170.32</v>
      </c>
      <c r="H303" s="13">
        <f t="shared" si="4"/>
        <v>1703.1999999999998</v>
      </c>
    </row>
    <row r="304" spans="1:8" ht="148.5" x14ac:dyDescent="0.3">
      <c r="A304" s="1">
        <v>300</v>
      </c>
      <c r="B304" s="111">
        <f>'APÊNDICE II-MEMÓRIA DE CÁLCULO'!B305</f>
        <v>11706</v>
      </c>
      <c r="C304" s="111" t="str">
        <f>'APÊNDICE II-MEMÓRIA DE CÁLCULO'!C305</f>
        <v>-</v>
      </c>
      <c r="D304" s="11" t="str">
        <f>'APÊNDICE II-MEMÓRIA DE CÁLCULO'!D305</f>
        <v>APARELHO DE SONAR – (DETECTOR FETAL) PORTÁTIL digital com bateria recarregável, carregador, gabinete e transdutor confeccionado em plástico ABS, 04 (quatro) modos de funcionamento, indicador de batimento cardíaco fetal, saída para fone de ouvido, alojamento para transdutor na lateral do aparelho. Botão liga e desliga. Com registro ANVISA. Garantia mínima de 12 (doze) meses. 
.</v>
      </c>
      <c r="E304" s="10" t="str">
        <f>'APÊNDICE II-MEMÓRIA DE CÁLCULO'!E305</f>
        <v>UNIDADE</v>
      </c>
      <c r="F304" s="27">
        <f>'APÊNDICE II-MEMÓRIA DE CÁLCULO'!L305</f>
        <v>10</v>
      </c>
      <c r="G304" s="13">
        <f>'APÊNDICE III - MAPA DE PREÇOS'!X304</f>
        <v>638.19000000000005</v>
      </c>
      <c r="H304" s="13">
        <f t="shared" si="4"/>
        <v>6381.9000000000005</v>
      </c>
    </row>
    <row r="305" spans="1:8" ht="132" x14ac:dyDescent="0.3">
      <c r="A305" s="1">
        <v>301</v>
      </c>
      <c r="B305" s="111">
        <f>'APÊNDICE II-MEMÓRIA DE CÁLCULO'!B306</f>
        <v>16349</v>
      </c>
      <c r="C305" s="111" t="str">
        <f>'APÊNDICE II-MEMÓRIA DE CÁLCULO'!C306</f>
        <v>-</v>
      </c>
      <c r="D305" s="11" t="str">
        <f>'APÊNDICE II-MEMÓRIA DE CÁLCULO'!D306</f>
        <v>APARELHO DE PRESSÃO DIGITAL AUTOMÁTICO DE BRAÇO - com 01 (uma) braçadeira tamanho universal para circunferência de braço de 23 a 43cm, display em LCD, indicador de categoria de pressão arterial, entrada para cabo USB 5V;1A, Botão liga/desliga, botão de configuração, entrada para conexão da braçadeira, funciona com pilha alcalina AAA. Garantia de 12 meses.</v>
      </c>
      <c r="E305" s="10" t="str">
        <f>'APÊNDICE II-MEMÓRIA DE CÁLCULO'!E306</f>
        <v>UNIDADE</v>
      </c>
      <c r="F305" s="27">
        <f>'APÊNDICE II-MEMÓRIA DE CÁLCULO'!L306</f>
        <v>10</v>
      </c>
      <c r="G305" s="13">
        <f>'APÊNDICE III - MAPA DE PREÇOS'!X305</f>
        <v>131.47</v>
      </c>
      <c r="H305" s="13">
        <f t="shared" si="4"/>
        <v>1314.7</v>
      </c>
    </row>
    <row r="306" spans="1:8" ht="66" x14ac:dyDescent="0.3">
      <c r="A306" s="1">
        <v>302</v>
      </c>
      <c r="B306" s="111">
        <f>'APÊNDICE II-MEMÓRIA DE CÁLCULO'!B307</f>
        <v>2591</v>
      </c>
      <c r="C306" s="111">
        <f>'APÊNDICE II-MEMÓRIA DE CÁLCULO'!C307</f>
        <v>372895</v>
      </c>
      <c r="D306" s="11" t="str">
        <f>'APÊNDICE II-MEMÓRIA DE CÁLCULO'!D307</f>
        <v>BALANÇA DIGITAL - com plataforma de vidro temperado mínimo 6MM, visor digital com capacidade de peso de até 150 KG. Alimentação por bateria. Em conformidade com o INMETRO.</v>
      </c>
      <c r="E306" s="10" t="str">
        <f>'APÊNDICE II-MEMÓRIA DE CÁLCULO'!E307</f>
        <v>UNIDADE</v>
      </c>
      <c r="F306" s="27">
        <f>'APÊNDICE II-MEMÓRIA DE CÁLCULO'!L307</f>
        <v>10</v>
      </c>
      <c r="G306" s="13">
        <f>'APÊNDICE III - MAPA DE PREÇOS'!X306</f>
        <v>120.42</v>
      </c>
      <c r="H306" s="13">
        <f t="shared" si="4"/>
        <v>1204.2</v>
      </c>
    </row>
    <row r="307" spans="1:8" ht="115.5" x14ac:dyDescent="0.3">
      <c r="A307" s="1">
        <v>303</v>
      </c>
      <c r="B307" s="111">
        <f>'APÊNDICE II-MEMÓRIA DE CÁLCULO'!B308</f>
        <v>4231</v>
      </c>
      <c r="C307" s="111" t="str">
        <f>'APÊNDICE II-MEMÓRIA DE CÁLCULO'!C308</f>
        <v>-</v>
      </c>
      <c r="D307" s="11" t="str">
        <f>'APÊNDICE II-MEMÓRIA DE CÁLCULO'!D308</f>
        <v>OTOSCÓPIO – com cabo em material cromado inoxidável para duas pilhas comuns (inclusas), revestido por capa antiderrapante para melhor empunhadura, cabeçote com lâmpada, regulador de alta e baixa luminosidade, visor móvel, lâmpada incandescente de 2,5 v. garantia mínima de 12 (doze) meses. Com registro na ANVISA.</v>
      </c>
      <c r="E307" s="10" t="str">
        <f>'APÊNDICE II-MEMÓRIA DE CÁLCULO'!E308</f>
        <v>UNIDADE</v>
      </c>
      <c r="F307" s="27">
        <f>'APÊNDICE II-MEMÓRIA DE CÁLCULO'!L308</f>
        <v>15</v>
      </c>
      <c r="G307" s="13">
        <f>'APÊNDICE III - MAPA DE PREÇOS'!X307</f>
        <v>219.58</v>
      </c>
      <c r="H307" s="13">
        <f t="shared" si="4"/>
        <v>3293.7000000000003</v>
      </c>
    </row>
    <row r="308" spans="1:8" ht="132" x14ac:dyDescent="0.3">
      <c r="A308" s="1">
        <v>304</v>
      </c>
      <c r="B308" s="111">
        <f>'APÊNDICE II-MEMÓRIA DE CÁLCULO'!B309</f>
        <v>16350</v>
      </c>
      <c r="C308" s="111" t="str">
        <f>'APÊNDICE II-MEMÓRIA DE CÁLCULO'!C309</f>
        <v>-</v>
      </c>
      <c r="D308" s="11" t="str">
        <f>'APÊNDICE II-MEMÓRIA DE CÁLCULO'!D309</f>
        <v>SUPORTE DE PERFURO CORTANTE - suporte para depósito de papelão p/20 litros pintado suporte para descarte 20 (vinte) litros confeccionado em aço com pintura eletrostática, na cor branco, pode ser fixado em parede, acompanha 02 pares de escápulas e buchas. Para melhor uso manter o suporte fixado com no mínimo 1,20 m do chão ou podendo ser usado em bancada.</v>
      </c>
      <c r="E308" s="10" t="str">
        <f>'APÊNDICE II-MEMÓRIA DE CÁLCULO'!E309</f>
        <v>UNIDADE</v>
      </c>
      <c r="F308" s="27">
        <f>'APÊNDICE II-MEMÓRIA DE CÁLCULO'!L309</f>
        <v>20</v>
      </c>
      <c r="G308" s="13">
        <f>'APÊNDICE III - MAPA DE PREÇOS'!X308</f>
        <v>27.25</v>
      </c>
      <c r="H308" s="13">
        <f t="shared" si="4"/>
        <v>545</v>
      </c>
    </row>
    <row r="309" spans="1:8" ht="165" x14ac:dyDescent="0.3">
      <c r="A309" s="1">
        <v>305</v>
      </c>
      <c r="B309" s="111">
        <f>'APÊNDICE II-MEMÓRIA DE CÁLCULO'!B310</f>
        <v>16352</v>
      </c>
      <c r="C309" s="111">
        <f>'APÊNDICE II-MEMÓRIA DE CÁLCULO'!C310</f>
        <v>616024</v>
      </c>
      <c r="D309" s="11" t="str">
        <f>'APÊNDICE II-MEMÓRIA DE CÁLCULO'!D310</f>
        <v>Fralda descartável infantil - TAMANHO 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12 a 15 kg   Referência: Pampers, Personalidade Baby, Huggies, Pompom, Mônica, Cremer ou similares.</v>
      </c>
      <c r="E309" s="10" t="str">
        <f>'APÊNDICE II-MEMÓRIA DE CÁLCULO'!E310</f>
        <v>UNIDADE</v>
      </c>
      <c r="F309" s="27">
        <f>'APÊNDICE II-MEMÓRIA DE CÁLCULO'!M310</f>
        <v>10000</v>
      </c>
      <c r="G309" s="13">
        <f>'APÊNDICE III - MAPA DE PREÇOS'!X309</f>
        <v>1.1299999999999999</v>
      </c>
      <c r="H309" s="13">
        <f t="shared" si="4"/>
        <v>11299.999999999998</v>
      </c>
    </row>
    <row r="310" spans="1:8" ht="165" x14ac:dyDescent="0.3">
      <c r="A310" s="1">
        <v>306</v>
      </c>
      <c r="B310" s="111">
        <f>'APÊNDICE II-MEMÓRIA DE CÁLCULO'!B311</f>
        <v>16353</v>
      </c>
      <c r="C310" s="111" t="str">
        <f>'APÊNDICE II-MEMÓRIA DE CÁLCULO'!C311</f>
        <v>-</v>
      </c>
      <c r="D310" s="11" t="str">
        <f>'APÊNDICE II-MEMÓRIA DE CÁLCULO'!D311</f>
        <v>Fralda descartável infantil - TAMANHO EG/XXG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15 a 25 kg   Referência: Pampers, Personalidade Baby, Huggies, Pompom, Mônica, Cremer ou similares.</v>
      </c>
      <c r="E310" s="10" t="str">
        <f>'APÊNDICE II-MEMÓRIA DE CÁLCULO'!E311</f>
        <v>UNIDADE</v>
      </c>
      <c r="F310" s="27">
        <f>'APÊNDICE II-MEMÓRIA DE CÁLCULO'!M311</f>
        <v>5000</v>
      </c>
      <c r="G310" s="13">
        <f>'APÊNDICE III - MAPA DE PREÇOS'!X310</f>
        <v>1.19</v>
      </c>
      <c r="H310" s="13">
        <f t="shared" si="4"/>
        <v>5950</v>
      </c>
    </row>
    <row r="311" spans="1:8" ht="148.5" x14ac:dyDescent="0.3">
      <c r="A311" s="1">
        <v>307</v>
      </c>
      <c r="B311" s="111">
        <f>'APÊNDICE II-MEMÓRIA DE CÁLCULO'!B312</f>
        <v>16354</v>
      </c>
      <c r="C311" s="111">
        <f>'APÊNDICE II-MEMÓRIA DE CÁLCULO'!C312</f>
        <v>604877</v>
      </c>
      <c r="D311" s="11" t="str">
        <f>'APÊNDICE II-MEMÓRIA DE CÁLCULO'!D312</f>
        <v>Tubo endotraqueal - tamanho: Nº 2,0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1" s="10" t="str">
        <f>'APÊNDICE II-MEMÓRIA DE CÁLCULO'!E312</f>
        <v>UNIDADE</v>
      </c>
      <c r="F311" s="27">
        <f>'APÊNDICE II-MEMÓRIA DE CÁLCULO'!L312</f>
        <v>20</v>
      </c>
      <c r="G311" s="13">
        <f>'APÊNDICE III - MAPA DE PREÇOS'!X311</f>
        <v>5.46</v>
      </c>
      <c r="H311" s="13">
        <f t="shared" si="4"/>
        <v>109.2</v>
      </c>
    </row>
    <row r="312" spans="1:8" ht="148.5" x14ac:dyDescent="0.3">
      <c r="A312" s="1">
        <v>308</v>
      </c>
      <c r="B312" s="111">
        <f>'APÊNDICE II-MEMÓRIA DE CÁLCULO'!B313</f>
        <v>16355</v>
      </c>
      <c r="C312" s="111">
        <f>'APÊNDICE II-MEMÓRIA DE CÁLCULO'!C313</f>
        <v>451192</v>
      </c>
      <c r="D312" s="11" t="str">
        <f>'APÊNDICE II-MEMÓRIA DE CÁLCULO'!D313</f>
        <v>Tubo endotraqueal - tamanho: Nº 4,5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2" s="10" t="str">
        <f>'APÊNDICE II-MEMÓRIA DE CÁLCULO'!E313</f>
        <v>UNIDADE</v>
      </c>
      <c r="F312" s="27">
        <f>'APÊNDICE II-MEMÓRIA DE CÁLCULO'!L313</f>
        <v>20</v>
      </c>
      <c r="G312" s="13">
        <f>'APÊNDICE III - MAPA DE PREÇOS'!X312</f>
        <v>5.99</v>
      </c>
      <c r="H312" s="13">
        <f t="shared" si="4"/>
        <v>119.80000000000001</v>
      </c>
    </row>
    <row r="313" spans="1:8" ht="148.5" x14ac:dyDescent="0.3">
      <c r="A313" s="1">
        <v>309</v>
      </c>
      <c r="B313" s="111">
        <f>'APÊNDICE II-MEMÓRIA DE CÁLCULO'!B314</f>
        <v>16356</v>
      </c>
      <c r="C313" s="111">
        <f>'APÊNDICE II-MEMÓRIA DE CÁLCULO'!C314</f>
        <v>451322</v>
      </c>
      <c r="D313" s="11" t="str">
        <f>'APÊNDICE II-MEMÓRIA DE CÁLCULO'!D314</f>
        <v>Tubo endotraqueal - tamanho: Nº 5,5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3" s="10" t="str">
        <f>'APÊNDICE II-MEMÓRIA DE CÁLCULO'!E314</f>
        <v>UNIDADE</v>
      </c>
      <c r="F313" s="27">
        <f>'APÊNDICE II-MEMÓRIA DE CÁLCULO'!L314</f>
        <v>20</v>
      </c>
      <c r="G313" s="13">
        <f>'APÊNDICE III - MAPA DE PREÇOS'!X313</f>
        <v>5.86</v>
      </c>
      <c r="H313" s="13">
        <f t="shared" si="4"/>
        <v>117.2</v>
      </c>
    </row>
    <row r="314" spans="1:8" ht="148.5" x14ac:dyDescent="0.3">
      <c r="A314" s="1">
        <v>310</v>
      </c>
      <c r="B314" s="111">
        <f>'APÊNDICE II-MEMÓRIA DE CÁLCULO'!B315</f>
        <v>16357</v>
      </c>
      <c r="C314" s="111">
        <f>'APÊNDICE II-MEMÓRIA DE CÁLCULO'!C315</f>
        <v>467659</v>
      </c>
      <c r="D314" s="11" t="str">
        <f>'APÊNDICE II-MEMÓRIA DE CÁLCULO'!D315</f>
        <v>Tubo endotraqueal - tamanho: Nº 6,5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data, tio de esterilização e tempo de validade.</v>
      </c>
      <c r="E314" s="10" t="str">
        <f>'APÊNDICE II-MEMÓRIA DE CÁLCULO'!E315</f>
        <v>UNIDADE</v>
      </c>
      <c r="F314" s="27">
        <f>'APÊNDICE II-MEMÓRIA DE CÁLCULO'!L315</f>
        <v>20</v>
      </c>
      <c r="G314" s="13">
        <f>'APÊNDICE III - MAPA DE PREÇOS'!X314</f>
        <v>5.19</v>
      </c>
      <c r="H314" s="13">
        <f t="shared" si="4"/>
        <v>103.80000000000001</v>
      </c>
    </row>
    <row r="315" spans="1:8" ht="148.5" x14ac:dyDescent="0.3">
      <c r="A315" s="1">
        <v>311</v>
      </c>
      <c r="B315" s="111">
        <f>'APÊNDICE II-MEMÓRIA DE CÁLCULO'!B316</f>
        <v>16358</v>
      </c>
      <c r="C315" s="111">
        <f>'APÊNDICE II-MEMÓRIA DE CÁLCULO'!C316</f>
        <v>451380</v>
      </c>
      <c r="D315" s="11" t="str">
        <f>'APÊNDICE II-MEMÓRIA DE CÁLCULO'!D316</f>
        <v>Tubo endotraqueal - tamanho: Nº 7,0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5" s="10" t="str">
        <f>'APÊNDICE II-MEMÓRIA DE CÁLCULO'!E316</f>
        <v>UNIDADE</v>
      </c>
      <c r="F315" s="27">
        <f>'APÊNDICE II-MEMÓRIA DE CÁLCULO'!L316</f>
        <v>50</v>
      </c>
      <c r="G315" s="13">
        <f>'APÊNDICE III - MAPA DE PREÇOS'!X315</f>
        <v>5.05</v>
      </c>
      <c r="H315" s="13">
        <f t="shared" ref="H315:H350" si="5">F315*G315</f>
        <v>252.5</v>
      </c>
    </row>
    <row r="316" spans="1:8" ht="132" x14ac:dyDescent="0.3">
      <c r="A316" s="1">
        <v>312</v>
      </c>
      <c r="B316" s="111">
        <f>'APÊNDICE II-MEMÓRIA DE CÁLCULO'!B317</f>
        <v>16367</v>
      </c>
      <c r="C316" s="111">
        <f>'APÊNDICE II-MEMÓRIA DE CÁLCULO'!C317</f>
        <v>438397</v>
      </c>
      <c r="D316" s="11" t="str">
        <f>'APÊNDICE II-MEMÓRIA DE CÁLCULO'!D317</f>
        <v>Sonda nasogástrica curta -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6" s="10" t="str">
        <f>'APÊNDICE II-MEMÓRIA DE CÁLCULO'!E317</f>
        <v>UNIDADE</v>
      </c>
      <c r="F316" s="27">
        <f>'APÊNDICE II-MEMÓRIA DE CÁLCULO'!L317</f>
        <v>100</v>
      </c>
      <c r="G316" s="13">
        <f>'APÊNDICE III - MAPA DE PREÇOS'!X316</f>
        <v>0.86</v>
      </c>
      <c r="H316" s="13">
        <f t="shared" si="5"/>
        <v>86</v>
      </c>
    </row>
    <row r="317" spans="1:8" ht="132" x14ac:dyDescent="0.3">
      <c r="A317" s="1">
        <v>313</v>
      </c>
      <c r="B317" s="111">
        <f>'APÊNDICE II-MEMÓRIA DE CÁLCULO'!B318</f>
        <v>16368</v>
      </c>
      <c r="C317" s="111">
        <f>'APÊNDICE II-MEMÓRIA DE CÁLCULO'!C318</f>
        <v>438398</v>
      </c>
      <c r="D317" s="11" t="str">
        <f>'APÊNDICE II-MEMÓRIA DE CÁLCULO'!D318</f>
        <v>Sonda nasogástrica curta - 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7" s="10" t="str">
        <f>'APÊNDICE II-MEMÓRIA DE CÁLCULO'!E318</f>
        <v>UNIDADE</v>
      </c>
      <c r="F317" s="27">
        <f>'APÊNDICE II-MEMÓRIA DE CÁLCULO'!L318</f>
        <v>100</v>
      </c>
      <c r="G317" s="13">
        <f>'APÊNDICE III - MAPA DE PREÇOS'!X317</f>
        <v>0.92</v>
      </c>
      <c r="H317" s="13">
        <f t="shared" si="5"/>
        <v>92</v>
      </c>
    </row>
    <row r="318" spans="1:8" ht="132" x14ac:dyDescent="0.3">
      <c r="A318" s="1">
        <v>314</v>
      </c>
      <c r="B318" s="111">
        <f>'APÊNDICE II-MEMÓRIA DE CÁLCULO'!B319</f>
        <v>16369</v>
      </c>
      <c r="C318" s="111">
        <f>'APÊNDICE II-MEMÓRIA DE CÁLCULO'!C319</f>
        <v>438399</v>
      </c>
      <c r="D318" s="11" t="str">
        <f>'APÊNDICE II-MEMÓRIA DE CÁLCULO'!D319</f>
        <v xml:space="preserve">Sonda nasogástrica curta - 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 </v>
      </c>
      <c r="E318" s="10" t="str">
        <f>'APÊNDICE II-MEMÓRIA DE CÁLCULO'!E319</f>
        <v>UNIDADE</v>
      </c>
      <c r="F318" s="27">
        <f>'APÊNDICE II-MEMÓRIA DE CÁLCULO'!L319</f>
        <v>100</v>
      </c>
      <c r="G318" s="13">
        <f>'APÊNDICE III - MAPA DE PREÇOS'!X318</f>
        <v>1.1499999999999999</v>
      </c>
      <c r="H318" s="13">
        <f t="shared" si="5"/>
        <v>114.99999999999999</v>
      </c>
    </row>
    <row r="319" spans="1:8" ht="132" x14ac:dyDescent="0.3">
      <c r="A319" s="1">
        <v>315</v>
      </c>
      <c r="B319" s="111">
        <f>'APÊNDICE II-MEMÓRIA DE CÁLCULO'!B320</f>
        <v>16370</v>
      </c>
      <c r="C319" s="111">
        <f>'APÊNDICE II-MEMÓRIA DE CÁLCULO'!C320</f>
        <v>438400</v>
      </c>
      <c r="D319" s="11" t="str">
        <f>'APÊNDICE II-MEMÓRIA DE CÁLCULO'!D320</f>
        <v>Sonda nasogástrica curta - 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9" s="10" t="str">
        <f>'APÊNDICE II-MEMÓRIA DE CÁLCULO'!E320</f>
        <v>UNIDADE</v>
      </c>
      <c r="F319" s="27">
        <f>'APÊNDICE II-MEMÓRIA DE CÁLCULO'!L320</f>
        <v>100</v>
      </c>
      <c r="G319" s="13">
        <f>'APÊNDICE III - MAPA DE PREÇOS'!X319</f>
        <v>1.05</v>
      </c>
      <c r="H319" s="13">
        <f t="shared" si="5"/>
        <v>105</v>
      </c>
    </row>
    <row r="320" spans="1:8" ht="132" x14ac:dyDescent="0.3">
      <c r="A320" s="1">
        <v>316</v>
      </c>
      <c r="B320" s="111">
        <f>'APÊNDICE II-MEMÓRIA DE CÁLCULO'!B321</f>
        <v>16371</v>
      </c>
      <c r="C320" s="111">
        <f>'APÊNDICE II-MEMÓRIA DE CÁLCULO'!C321</f>
        <v>438951</v>
      </c>
      <c r="D320" s="11" t="str">
        <f>'APÊNDICE II-MEMÓRIA DE CÁLCULO'!D321</f>
        <v>Sonda nasogástrica curta - tamanho: Nº 20,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v>
      </c>
      <c r="E320" s="10" t="str">
        <f>'APÊNDICE II-MEMÓRIA DE CÁLCULO'!E321</f>
        <v>UNIDADE</v>
      </c>
      <c r="F320" s="27">
        <f>'APÊNDICE II-MEMÓRIA DE CÁLCULO'!L321</f>
        <v>100</v>
      </c>
      <c r="G320" s="13">
        <f>'APÊNDICE III - MAPA DE PREÇOS'!X320</f>
        <v>1.23</v>
      </c>
      <c r="H320" s="13">
        <f t="shared" si="5"/>
        <v>123</v>
      </c>
    </row>
    <row r="321" spans="1:8" ht="132" x14ac:dyDescent="0.3">
      <c r="A321" s="1">
        <v>317</v>
      </c>
      <c r="B321" s="111">
        <f>'APÊNDICE II-MEMÓRIA DE CÁLCULO'!B322</f>
        <v>16372</v>
      </c>
      <c r="C321" s="111">
        <f>'APÊNDICE II-MEMÓRIA DE CÁLCULO'!C322</f>
        <v>449606</v>
      </c>
      <c r="D321" s="11" t="str">
        <f>'APÊNDICE II-MEMÓRIA DE CÁLCULO'!D322</f>
        <v>Sonda nasogástrica curta - 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21" s="10" t="str">
        <f>'APÊNDICE II-MEMÓRIA DE CÁLCULO'!E322</f>
        <v>UNIDADE</v>
      </c>
      <c r="F321" s="27">
        <f>'APÊNDICE II-MEMÓRIA DE CÁLCULO'!L322</f>
        <v>50</v>
      </c>
      <c r="G321" s="13">
        <f>'APÊNDICE III - MAPA DE PREÇOS'!X321</f>
        <v>1.43</v>
      </c>
      <c r="H321" s="13">
        <f t="shared" si="5"/>
        <v>71.5</v>
      </c>
    </row>
    <row r="322" spans="1:8" ht="132" x14ac:dyDescent="0.3">
      <c r="A322" s="1">
        <v>318</v>
      </c>
      <c r="B322" s="111">
        <f>'APÊNDICE II-MEMÓRIA DE CÁLCULO'!B323</f>
        <v>16373</v>
      </c>
      <c r="C322" s="111">
        <f>'APÊNDICE II-MEMÓRIA DE CÁLCULO'!C323</f>
        <v>438401</v>
      </c>
      <c r="D322" s="11" t="str">
        <f>'APÊNDICE II-MEMÓRIA DE CÁLCULO'!D323</f>
        <v>Sonda nasogástrica longa - tamanho: Nº 04,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v>
      </c>
      <c r="E322" s="10" t="str">
        <f>'APÊNDICE II-MEMÓRIA DE CÁLCULO'!E323</f>
        <v>UNIDADE</v>
      </c>
      <c r="F322" s="27">
        <f>'APÊNDICE II-MEMÓRIA DE CÁLCULO'!L323</f>
        <v>50</v>
      </c>
      <c r="G322" s="13">
        <f>'APÊNDICE III - MAPA DE PREÇOS'!X322</f>
        <v>1.1200000000000001</v>
      </c>
      <c r="H322" s="13">
        <f t="shared" si="5"/>
        <v>56.000000000000007</v>
      </c>
    </row>
    <row r="323" spans="1:8" ht="99" x14ac:dyDescent="0.3">
      <c r="A323" s="1">
        <v>319</v>
      </c>
      <c r="B323" s="111">
        <f>'APÊNDICE II-MEMÓRIA DE CÁLCULO'!B324</f>
        <v>16374</v>
      </c>
      <c r="C323" s="111">
        <f>'APÊNDICE II-MEMÓRIA DE CÁLCULO'!C324</f>
        <v>600992</v>
      </c>
      <c r="D323" s="11" t="str">
        <f>'APÊNDICE II-MEMÓRIA DE CÁLCULO'!D324</f>
        <v>Pinça Professor Medina para biópsia uterina, medidas: 24cm, material: aço inoxidável, esterilidade: esterilizável.   Diâmetro da boca: 3mm. Especificação: Pinça Professor Medina para biópsia uterina, medidas: 24cm, material: aço inoxidável, esterilidade. Referência: Rhosse ou similar</v>
      </c>
      <c r="E323" s="10" t="str">
        <f>'APÊNDICE II-MEMÓRIA DE CÁLCULO'!E324</f>
        <v>UNIDADE</v>
      </c>
      <c r="F323" s="27">
        <f>'APÊNDICE II-MEMÓRIA DE CÁLCULO'!L324</f>
        <v>10</v>
      </c>
      <c r="G323" s="13">
        <f>'APÊNDICE III - MAPA DE PREÇOS'!X323</f>
        <v>163.11000000000001</v>
      </c>
      <c r="H323" s="13">
        <f t="shared" si="5"/>
        <v>1631.1000000000001</v>
      </c>
    </row>
    <row r="324" spans="1:8" ht="99" x14ac:dyDescent="0.3">
      <c r="A324" s="1">
        <v>320</v>
      </c>
      <c r="B324" s="111">
        <f>'APÊNDICE II-MEMÓRIA DE CÁLCULO'!B325</f>
        <v>16375</v>
      </c>
      <c r="C324" s="111">
        <f>'APÊNDICE II-MEMÓRIA DE CÁLCULO'!C325</f>
        <v>600993</v>
      </c>
      <c r="D324" s="11" t="str">
        <f>'APÊNDICE II-MEMÓRIA DE CÁLCULO'!D325</f>
        <v>Pinça Professor Medina para biópsia uterina, medidas: 24cm, material: aço inoxidável, esterilidade: esterilizável. Diâmetro da boca: 4mm. Especificação: Professor Medina para biópsia uterina, medidas: 24cm, material: aço inoxidável,, esterilidade: esterilizável. Referência: Rhosse ou similar.</v>
      </c>
      <c r="E324" s="10" t="str">
        <f>'APÊNDICE II-MEMÓRIA DE CÁLCULO'!E325</f>
        <v>UNIDADE</v>
      </c>
      <c r="F324" s="27">
        <f>'APÊNDICE II-MEMÓRIA DE CÁLCULO'!L325</f>
        <v>10</v>
      </c>
      <c r="G324" s="13">
        <f>'APÊNDICE III - MAPA DE PREÇOS'!X324</f>
        <v>203.27</v>
      </c>
      <c r="H324" s="13">
        <f t="shared" si="5"/>
        <v>2032.7</v>
      </c>
    </row>
    <row r="325" spans="1:8" ht="115.5" x14ac:dyDescent="0.3">
      <c r="A325" s="1">
        <v>321</v>
      </c>
      <c r="B325" s="111">
        <f>'APÊNDICE II-MEMÓRIA DE CÁLCULO'!B326</f>
        <v>16376</v>
      </c>
      <c r="C325" s="111">
        <f>'APÊNDICE II-MEMÓRIA DE CÁLCULO'!C326</f>
        <v>601266</v>
      </c>
      <c r="D325" s="11" t="str">
        <f>'APÊNDICE II-MEMÓRIA DE CÁLCULO'!D326</f>
        <v>Pinça Hartmann Jacaré  para corpo estranho, Retirada de Diu e Passar Fio, medidas: 20cm, material: aço inoxidável, esterilidade: esterilizável. Especificação: Pinça Hartmann Jacaré  para corpo estranho, Retirada de Diu e Passar Fio, medidas: 20cm, material: aço inoxidável, esterilidade: esterilizável. Referência: Rhosse ou similar.</v>
      </c>
      <c r="E325" s="10" t="str">
        <f>'APÊNDICE II-MEMÓRIA DE CÁLCULO'!E326</f>
        <v>UNIDADE</v>
      </c>
      <c r="F325" s="27">
        <f>'APÊNDICE II-MEMÓRIA DE CÁLCULO'!L326</f>
        <v>11</v>
      </c>
      <c r="G325" s="13">
        <f>'APÊNDICE III - MAPA DE PREÇOS'!X325</f>
        <v>541.83000000000004</v>
      </c>
      <c r="H325" s="13">
        <f t="shared" si="5"/>
        <v>5960.13</v>
      </c>
    </row>
    <row r="326" spans="1:8" ht="99" x14ac:dyDescent="0.3">
      <c r="A326" s="1">
        <v>322</v>
      </c>
      <c r="B326" s="111">
        <f>'APÊNDICE II-MEMÓRIA DE CÁLCULO'!B327</f>
        <v>16377</v>
      </c>
      <c r="C326" s="111">
        <f>'APÊNDICE II-MEMÓRIA DE CÁLCULO'!C327</f>
        <v>615326</v>
      </c>
      <c r="D326" s="11" t="str">
        <f>'APÊNDICE II-MEMÓRIA DE CÁLCULO'!D327</f>
        <v>Desfibrilador Externo Automático (DEA) | Easyshock Standard 5800, material: Lítio e Dióxido de Manganês (LI-MnO2), dimensões: A: 254 mm L: 222 mm P: 76 mm, Especificação: Desfibrilador Externo Automático (DEA) | Easyshock Standard 5800. Referência: TOTH ou similar</v>
      </c>
      <c r="E326" s="10" t="str">
        <f>'APÊNDICE II-MEMÓRIA DE CÁLCULO'!E327</f>
        <v>UNIDADE</v>
      </c>
      <c r="F326" s="27">
        <f>'APÊNDICE II-MEMÓRIA DE CÁLCULO'!L327</f>
        <v>10</v>
      </c>
      <c r="G326" s="13">
        <f>'APÊNDICE III - MAPA DE PREÇOS'!X326</f>
        <v>7976.71</v>
      </c>
      <c r="H326" s="13">
        <f t="shared" si="5"/>
        <v>79767.100000000006</v>
      </c>
    </row>
    <row r="327" spans="1:8" ht="66" x14ac:dyDescent="0.3">
      <c r="A327" s="1">
        <v>323</v>
      </c>
      <c r="B327" s="111">
        <f>'APÊNDICE II-MEMÓRIA DE CÁLCULO'!B328</f>
        <v>16378</v>
      </c>
      <c r="C327" s="111" t="str">
        <f>'APÊNDICE II-MEMÓRIA DE CÁLCULO'!C328</f>
        <v>-</v>
      </c>
      <c r="D327" s="11" t="str">
        <f>'APÊNDICE II-MEMÓRIA DE CÁLCULO'!D328</f>
        <v>Estesiômetro Individual 10g Laranja Completo, material: descartável; Especificação:Estesiômetro Individual 10g. Especificação: Estesiômetro Individual 10g. Referência: Sorri-Bauru ou similar</v>
      </c>
      <c r="E327" s="10" t="str">
        <f>'APÊNDICE II-MEMÓRIA DE CÁLCULO'!E328</f>
        <v>UNIDADE</v>
      </c>
      <c r="F327" s="27">
        <f>'APÊNDICE II-MEMÓRIA DE CÁLCULO'!L328</f>
        <v>1000</v>
      </c>
      <c r="G327" s="13">
        <f>'APÊNDICE III - MAPA DE PREÇOS'!X327</f>
        <v>64.790000000000006</v>
      </c>
      <c r="H327" s="13">
        <f t="shared" si="5"/>
        <v>64790.000000000007</v>
      </c>
    </row>
    <row r="328" spans="1:8" ht="82.5" x14ac:dyDescent="0.3">
      <c r="A328" s="1">
        <v>324</v>
      </c>
      <c r="B328" s="111">
        <f>'APÊNDICE II-MEMÓRIA DE CÁLCULO'!B329</f>
        <v>16379</v>
      </c>
      <c r="C328" s="111" t="str">
        <f>'APÊNDICE II-MEMÓRIA DE CÁLCULO'!C329</f>
        <v>-</v>
      </c>
      <c r="D328" s="11" t="str">
        <f>'APÊNDICE II-MEMÓRIA DE CÁLCULO'!D329</f>
        <v xml:space="preserve">Oto-oftalmoscópio LED; Dimensões do produto (cm): 17,0 x 3,5 x 4,4 cm, Modelo:MD8700 Referência: MD8700. Especificações: Oto-oftalmoscópio LED. Referência: Medicate ou similar
 </v>
      </c>
      <c r="E328" s="10" t="str">
        <f>'APÊNDICE II-MEMÓRIA DE CÁLCULO'!E329</f>
        <v>UNIDADE</v>
      </c>
      <c r="F328" s="27">
        <f>'APÊNDICE II-MEMÓRIA DE CÁLCULO'!L329</f>
        <v>12</v>
      </c>
      <c r="G328" s="13">
        <f>'APÊNDICE III - MAPA DE PREÇOS'!X328</f>
        <v>1690.97</v>
      </c>
      <c r="H328" s="13">
        <f t="shared" si="5"/>
        <v>20291.64</v>
      </c>
    </row>
    <row r="329" spans="1:8" ht="82.5" x14ac:dyDescent="0.3">
      <c r="A329" s="1">
        <v>325</v>
      </c>
      <c r="B329" s="111">
        <f>'APÊNDICE II-MEMÓRIA DE CÁLCULO'!B330</f>
        <v>16380</v>
      </c>
      <c r="C329" s="111">
        <f>'APÊNDICE II-MEMÓRIA DE CÁLCULO'!C330</f>
        <v>445191</v>
      </c>
      <c r="D329" s="11" t="str">
        <f>'APÊNDICE II-MEMÓRIA DE CÁLCULO'!D330</f>
        <v>Lanterna Clínica LED Radiantlite II, Modelo: Radiantlite II, Material:  metal leve, Medidas: 14cm de comprimento e 1,2 cm de diâmetro, Especificações: Lanterna Clínica LED Radiantlite II. Referência: MD ou similar.</v>
      </c>
      <c r="E329" s="10" t="str">
        <f>'APÊNDICE II-MEMÓRIA DE CÁLCULO'!E330</f>
        <v>UNIDADE</v>
      </c>
      <c r="F329" s="27">
        <f>'APÊNDICE II-MEMÓRIA DE CÁLCULO'!L330</f>
        <v>15</v>
      </c>
      <c r="G329" s="13">
        <f>'APÊNDICE III - MAPA DE PREÇOS'!X329</f>
        <v>26.29</v>
      </c>
      <c r="H329" s="13">
        <f t="shared" si="5"/>
        <v>394.34999999999997</v>
      </c>
    </row>
    <row r="330" spans="1:8" ht="99" x14ac:dyDescent="0.3">
      <c r="A330" s="1">
        <v>326</v>
      </c>
      <c r="B330" s="111">
        <f>'APÊNDICE II-MEMÓRIA DE CÁLCULO'!B331</f>
        <v>16381</v>
      </c>
      <c r="C330" s="111" t="str">
        <f>'APÊNDICE II-MEMÓRIA DE CÁLCULO'!C331</f>
        <v>-</v>
      </c>
      <c r="D330" s="11" t="str">
        <f>'APÊNDICE II-MEMÓRIA DE CÁLCULO'!D331</f>
        <v xml:space="preserve">Martelo de Buck, Neurológico Black Edition; Material: PVC e metal pintado; Medidas: 180mm x 58mm, Epecificações: Martelo de Buck, Neurológico Black Edition, medidas: 14cm x 1,2 cm, material PVC e metal pintado. Referência: BIC ou similar
</v>
      </c>
      <c r="E330" s="10" t="str">
        <f>'APÊNDICE II-MEMÓRIA DE CÁLCULO'!E331</f>
        <v>UNIDADE</v>
      </c>
      <c r="F330" s="27">
        <f>'APÊNDICE II-MEMÓRIA DE CÁLCULO'!L331</f>
        <v>15</v>
      </c>
      <c r="G330" s="13">
        <f>'APÊNDICE III - MAPA DE PREÇOS'!X330</f>
        <v>85.17</v>
      </c>
      <c r="H330" s="13">
        <f t="shared" si="5"/>
        <v>1277.55</v>
      </c>
    </row>
    <row r="331" spans="1:8" ht="99" x14ac:dyDescent="0.3">
      <c r="A331" s="1">
        <v>327</v>
      </c>
      <c r="B331" s="111">
        <f>'APÊNDICE II-MEMÓRIA DE CÁLCULO'!B332</f>
        <v>16382</v>
      </c>
      <c r="C331" s="111">
        <f>'APÊNDICE II-MEMÓRIA DE CÁLCULO'!C332</f>
        <v>474168</v>
      </c>
      <c r="D331" s="11" t="str">
        <f>'APÊNDICE II-MEMÓRIA DE CÁLCULO'!D332</f>
        <v>Termômetro Clínico Digital Infravermelho De Testa Sem Contato; Medidas: ‎3,8 x 14,6 x 2,1 cm, Especificações: Termômetro Clínico Digital  Infravermelho De Testa Sem Contato,  Medidas: ‎3,8 x 14,6 x 2,1 cm, cor: azul.  Referência: G-Tech ou similar.</v>
      </c>
      <c r="E331" s="10" t="str">
        <f>'APÊNDICE II-MEMÓRIA DE CÁLCULO'!E332</f>
        <v>UNIDADE</v>
      </c>
      <c r="F331" s="27">
        <f>'APÊNDICE II-MEMÓRIA DE CÁLCULO'!L332</f>
        <v>15</v>
      </c>
      <c r="G331" s="13">
        <f>'APÊNDICE III - MAPA DE PREÇOS'!X331</f>
        <v>71.739999999999995</v>
      </c>
      <c r="H331" s="13">
        <f t="shared" si="5"/>
        <v>1076.0999999999999</v>
      </c>
    </row>
    <row r="332" spans="1:8" ht="132" x14ac:dyDescent="0.3">
      <c r="A332" s="1">
        <v>328</v>
      </c>
      <c r="B332" s="111">
        <f>'APÊNDICE II-MEMÓRIA DE CÁLCULO'!B333</f>
        <v>16383</v>
      </c>
      <c r="C332" s="111">
        <f>'APÊNDICE II-MEMÓRIA DE CÁLCULO'!C333</f>
        <v>454854</v>
      </c>
      <c r="D332" s="11" t="str">
        <f>'APÊNDICE II-MEMÓRIA DE CÁLCULO'!D333</f>
        <v xml:space="preserve">Cardiotocógrafo digital para monitoramento da frequência cardíaca do feto e as contrações uterinas; Modelo: Platinum - 10.1356, Medidas:  356 mm x 360 mm x 114 mm, Especificações: Cardiotocógrafo digital para monitoramento da frequência cardíaca do feto e as contrações uterinas,  Medidas:  356 mm x 360 mm x 114 mm. Referência: Kolplast ci Ltda ou similar </v>
      </c>
      <c r="E332" s="10" t="str">
        <f>'APÊNDICE II-MEMÓRIA DE CÁLCULO'!E333</f>
        <v>UNIDADE</v>
      </c>
      <c r="F332" s="27">
        <f>'APÊNDICE II-MEMÓRIA DE CÁLCULO'!L333</f>
        <v>1</v>
      </c>
      <c r="G332" s="13">
        <f>'APÊNDICE III - MAPA DE PREÇOS'!X332</f>
        <v>10589.78</v>
      </c>
      <c r="H332" s="13">
        <f t="shared" si="5"/>
        <v>10589.78</v>
      </c>
    </row>
    <row r="333" spans="1:8" ht="99" x14ac:dyDescent="0.3">
      <c r="A333" s="1">
        <v>329</v>
      </c>
      <c r="B333" s="111">
        <f>'APÊNDICE II-MEMÓRIA DE CÁLCULO'!B334</f>
        <v>16384</v>
      </c>
      <c r="C333" s="111">
        <f>'APÊNDICE II-MEMÓRIA DE CÁLCULO'!C334</f>
        <v>458264</v>
      </c>
      <c r="D333" s="11" t="str">
        <f>'APÊNDICE II-MEMÓRIA DE CÁLCULO'!D334</f>
        <v>Eletrocardiógrafo (ECG) Computadorizado com Software com 12 derivações simultâneas; Modelo: ECGPC, Medidas:  6x15x20,2 cm, Especificações: Eletrocardiógrafo (ECG) Computadorizado com Software com 12 derivações simultâneas, Medidas:  6x15x20,2 cm. Referência: TEB ou similar</v>
      </c>
      <c r="E333" s="10" t="str">
        <f>'APÊNDICE II-MEMÓRIA DE CÁLCULO'!E334</f>
        <v>UNIDADE</v>
      </c>
      <c r="F333" s="27">
        <f>'APÊNDICE II-MEMÓRIA DE CÁLCULO'!L334</f>
        <v>9</v>
      </c>
      <c r="G333" s="13">
        <f>'APÊNDICE III - MAPA DE PREÇOS'!X333</f>
        <v>6136.69</v>
      </c>
      <c r="H333" s="13">
        <f t="shared" si="5"/>
        <v>55230.21</v>
      </c>
    </row>
    <row r="334" spans="1:8" ht="99" x14ac:dyDescent="0.3">
      <c r="A334" s="1">
        <v>330</v>
      </c>
      <c r="B334" s="111">
        <f>'APÊNDICE II-MEMÓRIA DE CÁLCULO'!B335</f>
        <v>16385</v>
      </c>
      <c r="C334" s="111">
        <f>'APÊNDICE II-MEMÓRIA DE CÁLCULO'!C335</f>
        <v>317045</v>
      </c>
      <c r="D334" s="11" t="str">
        <f>'APÊNDICE II-MEMÓRIA DE CÁLCULO'!D335</f>
        <v>Doppler Vascular Portátil para a localização de pulsos arteriais e venosos, Modelo: DV 610B,  Medidas: 4,5 x 8,5 x 18cm, Especificações:: Doppler Vascular Portátil para a localização de pulsos arteriais e venosos,  Medidas: 4,5 x 8,5 x 18cm. Marca referência: MDMEGA ou similar</v>
      </c>
      <c r="E334" s="10" t="str">
        <f>'APÊNDICE II-MEMÓRIA DE CÁLCULO'!E335</f>
        <v>UNIDADE</v>
      </c>
      <c r="F334" s="27">
        <f>'APÊNDICE II-MEMÓRIA DE CÁLCULO'!L335</f>
        <v>10</v>
      </c>
      <c r="G334" s="13">
        <f>'APÊNDICE III - MAPA DE PREÇOS'!X334</f>
        <v>1518.15</v>
      </c>
      <c r="H334" s="13">
        <f t="shared" si="5"/>
        <v>15181.5</v>
      </c>
    </row>
    <row r="335" spans="1:8" ht="148.5" x14ac:dyDescent="0.3">
      <c r="A335" s="1">
        <v>331</v>
      </c>
      <c r="B335" s="111">
        <f>'APÊNDICE II-MEMÓRIA DE CÁLCULO'!B336</f>
        <v>16386</v>
      </c>
      <c r="C335" s="111">
        <f>'APÊNDICE II-MEMÓRIA DE CÁLCULO'!C336</f>
        <v>479757</v>
      </c>
      <c r="D335" s="11" t="str">
        <f>'APÊNDICE II-MEMÓRIA DE CÁLCULO'!D336</f>
        <v xml:space="preserve">Espéculo vaginal descartável M indicado para a realização de conização, cirurgia de alta frequência ou LEEP, Modelo: Espéculo Vaginal com Ducto Aspirador, Medidas: 10x2,2  Esterilidade: Estéril por Óxido Etileno (ETO), Especificações: Espéculo vaginal descartável indicado para a realização de conização, cirurgia de alta frequência ou LEEP, Medidas 10x2,2,Esterilidade: Estéril por Óxido Etileno (ETO). Referência: Kolpast ou similar  </v>
      </c>
      <c r="E335" s="10" t="str">
        <f>'APÊNDICE II-MEMÓRIA DE CÁLCULO'!E336</f>
        <v>UNIDADE</v>
      </c>
      <c r="F335" s="27">
        <f>'APÊNDICE II-MEMÓRIA DE CÁLCULO'!L336</f>
        <v>500</v>
      </c>
      <c r="G335" s="13">
        <f>'APÊNDICE III - MAPA DE PREÇOS'!X335</f>
        <v>1.31</v>
      </c>
      <c r="H335" s="13">
        <f t="shared" si="5"/>
        <v>655</v>
      </c>
    </row>
    <row r="336" spans="1:8" ht="148.5" x14ac:dyDescent="0.3">
      <c r="A336" s="1">
        <v>332</v>
      </c>
      <c r="B336" s="111">
        <f>'APÊNDICE II-MEMÓRIA DE CÁLCULO'!B337</f>
        <v>16387</v>
      </c>
      <c r="C336" s="111">
        <f>'APÊNDICE II-MEMÓRIA DE CÁLCULO'!C337</f>
        <v>479759</v>
      </c>
      <c r="D336" s="11" t="str">
        <f>'APÊNDICE II-MEMÓRIA DE CÁLCULO'!D337</f>
        <v xml:space="preserve">Espéculo vaginal descartável G indicado para a realização de conização, cirurgia de alta frequência ou LEEP, Modelo: Espéculo Vaginal com Ducto Aspirador, Medidas: 11x2,95  Esterilidade: Estéril por Óxido Etileno (ETO), Especificações: Espéculo vaginal descartável indicado para a realização de conização, cirurgia de alta frequência ou LEEP, Medidas 10x2,2,Esterilidade: Estéril por Óxido Etileno (ETO). Referência: Kolpast ou similar  
</v>
      </c>
      <c r="E336" s="10" t="str">
        <f>'APÊNDICE II-MEMÓRIA DE CÁLCULO'!E337</f>
        <v>UNIDADE</v>
      </c>
      <c r="F336" s="27">
        <f>'APÊNDICE II-MEMÓRIA DE CÁLCULO'!L337</f>
        <v>500</v>
      </c>
      <c r="G336" s="13">
        <f>'APÊNDICE III - MAPA DE PREÇOS'!X336</f>
        <v>1.4</v>
      </c>
      <c r="H336" s="13">
        <f t="shared" si="5"/>
        <v>700</v>
      </c>
    </row>
    <row r="337" spans="1:8" ht="82.5" x14ac:dyDescent="0.3">
      <c r="A337" s="1">
        <v>333</v>
      </c>
      <c r="B337" s="111">
        <f>'APÊNDICE II-MEMÓRIA DE CÁLCULO'!B338</f>
        <v>16388</v>
      </c>
      <c r="C337" s="111">
        <f>'APÊNDICE II-MEMÓRIA DE CÁLCULO'!C338</f>
        <v>434278</v>
      </c>
      <c r="D337" s="11" t="str">
        <f>'APÊNDICE II-MEMÓRIA DE CÁLCULO'!D338</f>
        <v>Solução corante de ácido acético 1000ML, Concentração: 5%, Forma farmacêutica: Solução, Modelo: Frasco, Especificações: Solução corante de ácido acético 1000ML, Concentração: 5%, Forma farmacêutica: Solução. Referência: Renylab ou similar</v>
      </c>
      <c r="E337" s="10" t="str">
        <f>'APÊNDICE II-MEMÓRIA DE CÁLCULO'!E338</f>
        <v>UNIDADE</v>
      </c>
      <c r="F337" s="27">
        <f>'APÊNDICE II-MEMÓRIA DE CÁLCULO'!L338</f>
        <v>60</v>
      </c>
      <c r="G337" s="13">
        <f>'APÊNDICE III - MAPA DE PREÇOS'!X337</f>
        <v>40.04</v>
      </c>
      <c r="H337" s="13">
        <f t="shared" si="5"/>
        <v>2402.4</v>
      </c>
    </row>
    <row r="338" spans="1:8" ht="66" x14ac:dyDescent="0.3">
      <c r="A338" s="1">
        <v>334</v>
      </c>
      <c r="B338" s="111">
        <f>'APÊNDICE II-MEMÓRIA DE CÁLCULO'!B339</f>
        <v>16389</v>
      </c>
      <c r="C338" s="111" t="str">
        <f>'APÊNDICE II-MEMÓRIA DE CÁLCULO'!C339</f>
        <v>-</v>
      </c>
      <c r="D338" s="11" t="str">
        <f>'APÊNDICE II-MEMÓRIA DE CÁLCULO'!D339</f>
        <v>Solução de Lugol 500ML, Concentração: 5%, Forma farmacêutica: Solução, Modelo: Frasco, Concentração: 5%, Forma farmacêutica: Solução. Marca referência: Laborclin ou referência</v>
      </c>
      <c r="E338" s="10" t="str">
        <f>'APÊNDICE II-MEMÓRIA DE CÁLCULO'!E339</f>
        <v>UNIDADE</v>
      </c>
      <c r="F338" s="27">
        <f>'APÊNDICE II-MEMÓRIA DE CÁLCULO'!L339</f>
        <v>80</v>
      </c>
      <c r="G338" s="13">
        <f>'APÊNDICE III - MAPA DE PREÇOS'!X338</f>
        <v>85.85</v>
      </c>
      <c r="H338" s="13">
        <f t="shared" si="5"/>
        <v>6868</v>
      </c>
    </row>
    <row r="339" spans="1:8" ht="115.5" x14ac:dyDescent="0.3">
      <c r="A339" s="1">
        <v>335</v>
      </c>
      <c r="B339" s="111">
        <f>'APÊNDICE II-MEMÓRIA DE CÁLCULO'!B340</f>
        <v>16390</v>
      </c>
      <c r="C339" s="111">
        <f>'APÊNDICE II-MEMÓRIA DE CÁLCULO'!C340</f>
        <v>482047</v>
      </c>
      <c r="D339" s="11" t="str">
        <f>'APÊNDICE II-MEMÓRIA DE CÁLCULO'!D340</f>
        <v>Foco clínico com iluminação LED e espelho de pedestal para iluminação em diversos procedimentos, Modelo: Foco Clinico com espelho - 10.1212, Especificações: Foco clínico com iluminação LED e espelho de pedestal para iluminação em diversos procedimentos, característica adicional: Cor branco. Referência: Kolpast ou siimilar</v>
      </c>
      <c r="E339" s="10" t="str">
        <f>'APÊNDICE II-MEMÓRIA DE CÁLCULO'!E340</f>
        <v>UNIDADE</v>
      </c>
      <c r="F339" s="27">
        <f>'APÊNDICE II-MEMÓRIA DE CÁLCULO'!L340</f>
        <v>10</v>
      </c>
      <c r="G339" s="13">
        <f>'APÊNDICE III - MAPA DE PREÇOS'!X339</f>
        <v>525.03</v>
      </c>
      <c r="H339" s="13">
        <f t="shared" si="5"/>
        <v>5250.2999999999993</v>
      </c>
    </row>
    <row r="340" spans="1:8" ht="82.5" x14ac:dyDescent="0.3">
      <c r="A340" s="1">
        <v>336</v>
      </c>
      <c r="B340" s="111">
        <f>'APÊNDICE II-MEMÓRIA DE CÁLCULO'!B341</f>
        <v>16391</v>
      </c>
      <c r="C340" s="111">
        <f>'APÊNDICE II-MEMÓRIA DE CÁLCULO'!C341</f>
        <v>458131</v>
      </c>
      <c r="D340" s="11" t="str">
        <f>'APÊNDICE II-MEMÓRIA DE CÁLCULO'!D341</f>
        <v xml:space="preserve">Frasco para Biópsia com tampa, Capacidade: 15 a 23ml, Especificações:  Frasco para Biópsia com tampa,Capacidade: 15 a 23m. Referência: TB ou similar.
</v>
      </c>
      <c r="E340" s="10" t="str">
        <f>'APÊNDICE II-MEMÓRIA DE CÁLCULO'!E341</f>
        <v>UNIDADE</v>
      </c>
      <c r="F340" s="27">
        <f>'APÊNDICE II-MEMÓRIA DE CÁLCULO'!L341</f>
        <v>1000</v>
      </c>
      <c r="G340" s="13">
        <f>'APÊNDICE III - MAPA DE PREÇOS'!X340</f>
        <v>3.12</v>
      </c>
      <c r="H340" s="13">
        <f t="shared" si="5"/>
        <v>3120</v>
      </c>
    </row>
    <row r="341" spans="1:8" ht="33" x14ac:dyDescent="0.3">
      <c r="A341" s="1">
        <v>337</v>
      </c>
      <c r="B341" s="111">
        <f>'APÊNDICE II-MEMÓRIA DE CÁLCULO'!B342</f>
        <v>16392</v>
      </c>
      <c r="C341" s="111">
        <f>'APÊNDICE II-MEMÓRIA DE CÁLCULO'!C342</f>
        <v>269073</v>
      </c>
      <c r="D341" s="11" t="str">
        <f>'APÊNDICE II-MEMÓRIA DE CÁLCULO'!D342</f>
        <v xml:space="preserve">Ácido tricloroacetico 1000ML, Concentração: 80%, Forma farmacêutica: Solução, </v>
      </c>
      <c r="E341" s="10" t="str">
        <f>'APÊNDICE II-MEMÓRIA DE CÁLCULO'!E342</f>
        <v>UNIDADE</v>
      </c>
      <c r="F341" s="27">
        <f>'APÊNDICE II-MEMÓRIA DE CÁLCULO'!L342</f>
        <v>100</v>
      </c>
      <c r="G341" s="13">
        <f>'APÊNDICE III - MAPA DE PREÇOS'!X341</f>
        <v>241.67</v>
      </c>
      <c r="H341" s="13">
        <f t="shared" si="5"/>
        <v>24167</v>
      </c>
    </row>
    <row r="342" spans="1:8" ht="66" x14ac:dyDescent="0.3">
      <c r="A342" s="1">
        <v>338</v>
      </c>
      <c r="B342" s="111">
        <f>'APÊNDICE II-MEMÓRIA DE CÁLCULO'!B343</f>
        <v>16394</v>
      </c>
      <c r="C342" s="111">
        <f>'APÊNDICE II-MEMÓRIA DE CÁLCULO'!C343</f>
        <v>442460</v>
      </c>
      <c r="D342" s="11" t="str">
        <f>'APÊNDICE II-MEMÓRIA DE CÁLCULO'!D343</f>
        <v>Histerômetro Collin, medidas: 23cm, material: Aço Inox 304, esterilidade: esterilizável, Especificações: das: 23cm, material: Aço Inox 304, esterilidade: esterilizável.  Referência: Rhosse ou similar</v>
      </c>
      <c r="E342" s="10" t="str">
        <f>'APÊNDICE II-MEMÓRIA DE CÁLCULO'!E343</f>
        <v>UNIDADE</v>
      </c>
      <c r="F342" s="27">
        <f>'APÊNDICE II-MEMÓRIA DE CÁLCULO'!L343</f>
        <v>38</v>
      </c>
      <c r="G342" s="13">
        <f>'APÊNDICE III - MAPA DE PREÇOS'!X342</f>
        <v>115.15</v>
      </c>
      <c r="H342" s="13">
        <f t="shared" si="5"/>
        <v>4375.7</v>
      </c>
    </row>
    <row r="343" spans="1:8" ht="49.5" x14ac:dyDescent="0.3">
      <c r="A343" s="1">
        <v>339</v>
      </c>
      <c r="B343" s="111">
        <f>'APÊNDICE II-MEMÓRIA DE CÁLCULO'!B344</f>
        <v>16399</v>
      </c>
      <c r="C343" s="111">
        <f>'APÊNDICE II-MEMÓRIA DE CÁLCULO'!C344</f>
        <v>467874</v>
      </c>
      <c r="D343" s="11" t="str">
        <f>'APÊNDICE II-MEMÓRIA DE CÁLCULO'!D344</f>
        <v>Pinça cheron  descartavél medidas: 24cm, material: resina de engenharia  para auxilio em exames ginecolócos.</v>
      </c>
      <c r="E343" s="10" t="str">
        <f>'APÊNDICE II-MEMÓRIA DE CÁLCULO'!E344</f>
        <v>UNIDADE</v>
      </c>
      <c r="F343" s="27">
        <f>'APÊNDICE II-MEMÓRIA DE CÁLCULO'!L344</f>
        <v>2000</v>
      </c>
      <c r="G343" s="13">
        <f>'APÊNDICE III - MAPA DE PREÇOS'!X343</f>
        <v>2.14</v>
      </c>
      <c r="H343" s="13">
        <f t="shared" si="5"/>
        <v>4280</v>
      </c>
    </row>
    <row r="344" spans="1:8" ht="66" x14ac:dyDescent="0.3">
      <c r="A344" s="1">
        <v>340</v>
      </c>
      <c r="B344" s="111">
        <f>'APÊNDICE II-MEMÓRIA DE CÁLCULO'!B345</f>
        <v>16395</v>
      </c>
      <c r="C344" s="111" t="str">
        <f>'APÊNDICE II-MEMÓRIA DE CÁLCULO'!C345</f>
        <v>-</v>
      </c>
      <c r="D344" s="11" t="str">
        <f>'APÊNDICE II-MEMÓRIA DE CÁLCULO'!D345</f>
        <v xml:space="preserve">Histerômetro Estéril Descartável, medidas: 25cm, material: Poliestireno, Especificação: Histerômetro Estéril Descartável, medidas: 25cm, material: Poliestireno.  </v>
      </c>
      <c r="E344" s="10" t="str">
        <f>'APÊNDICE II-MEMÓRIA DE CÁLCULO'!E345</f>
        <v>UNIDADE</v>
      </c>
      <c r="F344" s="27">
        <f>'APÊNDICE II-MEMÓRIA DE CÁLCULO'!L345</f>
        <v>2000</v>
      </c>
      <c r="G344" s="13">
        <f>'APÊNDICE III - MAPA DE PREÇOS'!X344</f>
        <v>3.7</v>
      </c>
      <c r="H344" s="13">
        <f t="shared" si="5"/>
        <v>7400</v>
      </c>
    </row>
    <row r="345" spans="1:8" ht="66" x14ac:dyDescent="0.3">
      <c r="A345" s="1">
        <v>341</v>
      </c>
      <c r="B345" s="111">
        <f>'APÊNDICE II-MEMÓRIA DE CÁLCULO'!B346</f>
        <v>16398</v>
      </c>
      <c r="C345" s="111">
        <f>'APÊNDICE II-MEMÓRIA DE CÁLCULO'!C346</f>
        <v>279895</v>
      </c>
      <c r="D345" s="11" t="str">
        <f>'APÊNDICE II-MEMÓRIA DE CÁLCULO'!D346</f>
        <v xml:space="preserve">Almotolia Transparente Pinceta Bico Reto 500ML, material: plástico, Especificação:  Almotolia Transparente Pinceta Bico Reto 500ML, material: plástico. </v>
      </c>
      <c r="E345" s="10" t="str">
        <f>'APÊNDICE II-MEMÓRIA DE CÁLCULO'!E346</f>
        <v>UNIDADE</v>
      </c>
      <c r="F345" s="27">
        <f>'APÊNDICE II-MEMÓRIA DE CÁLCULO'!L346</f>
        <v>300</v>
      </c>
      <c r="G345" s="13">
        <f>'APÊNDICE III - MAPA DE PREÇOS'!X345</f>
        <v>6.04</v>
      </c>
      <c r="H345" s="13">
        <f t="shared" si="5"/>
        <v>1812</v>
      </c>
    </row>
    <row r="346" spans="1:8" ht="33" x14ac:dyDescent="0.3">
      <c r="A346" s="1">
        <v>342</v>
      </c>
      <c r="B346" s="111">
        <f>'APÊNDICE II-MEMÓRIA DE CÁLCULO'!B347</f>
        <v>8050</v>
      </c>
      <c r="C346" s="111">
        <f>'APÊNDICE II-MEMÓRIA DE CÁLCULO'!C347</f>
        <v>274863</v>
      </c>
      <c r="D346" s="11" t="str">
        <f>'APÊNDICE II-MEMÓRIA DE CÁLCULO'!D347</f>
        <v>NEGATOSCOPIO - Lâmpada Fluorescente/ 2 Corpos; garantia de 12 meses.</v>
      </c>
      <c r="E346" s="10" t="str">
        <f>'APÊNDICE II-MEMÓRIA DE CÁLCULO'!E347</f>
        <v>UNIDADE</v>
      </c>
      <c r="F346" s="27">
        <f>'APÊNDICE II-MEMÓRIA DE CÁLCULO'!L347</f>
        <v>10</v>
      </c>
      <c r="G346" s="13">
        <f>'APÊNDICE III - MAPA DE PREÇOS'!X346</f>
        <v>749.81</v>
      </c>
      <c r="H346" s="13">
        <f t="shared" si="5"/>
        <v>7498.0999999999995</v>
      </c>
    </row>
    <row r="347" spans="1:8" ht="49.5" x14ac:dyDescent="0.3">
      <c r="A347" s="1">
        <v>343</v>
      </c>
      <c r="B347" s="111">
        <f>'APÊNDICE II-MEMÓRIA DE CÁLCULO'!B348</f>
        <v>16400</v>
      </c>
      <c r="C347" s="111">
        <f>'APÊNDICE II-MEMÓRIA DE CÁLCULO'!C348</f>
        <v>436498</v>
      </c>
      <c r="D347" s="11" t="str">
        <f>'APÊNDICE II-MEMÓRIA DE CÁLCULO'!D348</f>
        <v>ESFIGNOMANOMETRO DIGITAL INFANTIL- Aparelho De Medir Pressão De Braço Digital Elétrico. Referência: G-tech ou similar.</v>
      </c>
      <c r="E347" s="10" t="str">
        <f>'APÊNDICE II-MEMÓRIA DE CÁLCULO'!E348</f>
        <v>UNIDADE</v>
      </c>
      <c r="F347" s="27">
        <f>'APÊNDICE II-MEMÓRIA DE CÁLCULO'!L348</f>
        <v>10</v>
      </c>
      <c r="G347" s="13">
        <f>'APÊNDICE III - MAPA DE PREÇOS'!X347</f>
        <v>79.37</v>
      </c>
      <c r="H347" s="13">
        <f t="shared" si="5"/>
        <v>793.7</v>
      </c>
    </row>
    <row r="348" spans="1:8" ht="132" x14ac:dyDescent="0.3">
      <c r="A348" s="1">
        <v>344</v>
      </c>
      <c r="B348" s="111">
        <f>'APÊNDICE II-MEMÓRIA DE CÁLCULO'!B349</f>
        <v>16403</v>
      </c>
      <c r="C348" s="111" t="str">
        <f>'APÊNDICE II-MEMÓRIA DE CÁLCULO'!C349</f>
        <v>-</v>
      </c>
      <c r="D348" s="11" t="str">
        <f>'APÊNDICE II-MEMÓRIA DE CÁLCULO'!D349</f>
        <v>Suporte com Base para Cilindro, material: aço, especificações:Suporte com Base para Cilindro, material: aço, 7 a 10 litros. Especificações adicionais: Medida aproximada da circunferência para encaixe do cilindro: 17cm, Medidas aproximadas da base: 22cm x 30cm,Medidas aproximadas do produto: 40cm (A) x 34cm (L) x 38cm (C), Peso aproximado: 3,040 Kg.</v>
      </c>
      <c r="E348" s="10" t="str">
        <f>'APÊNDICE II-MEMÓRIA DE CÁLCULO'!E349</f>
        <v>UNIDADE</v>
      </c>
      <c r="F348" s="27">
        <f>'APÊNDICE II-MEMÓRIA DE CÁLCULO'!L349</f>
        <v>15</v>
      </c>
      <c r="G348" s="13">
        <f>'APÊNDICE III - MAPA DE PREÇOS'!X348</f>
        <v>301.17</v>
      </c>
      <c r="H348" s="13">
        <f t="shared" si="5"/>
        <v>4517.55</v>
      </c>
    </row>
    <row r="349" spans="1:8" ht="66" x14ac:dyDescent="0.3">
      <c r="A349" s="1">
        <v>345</v>
      </c>
      <c r="B349" s="111">
        <f>'APÊNDICE II-MEMÓRIA DE CÁLCULO'!B350</f>
        <v>16404</v>
      </c>
      <c r="C349" s="111" t="str">
        <f>'APÊNDICE II-MEMÓRIA DE CÁLCULO'!C350</f>
        <v>-</v>
      </c>
      <c r="D349" s="11" t="str">
        <f>'APÊNDICE II-MEMÓRIA DE CÁLCULO'!D350</f>
        <v xml:space="preserve">kit mascara lanringea, material: cloreto de polivinila (PVC), descartável, especificações: kit mascara lanringea, material: cloreto de polivinila (PVC), descartável, tamanhos 1 - 1,5 - 2 - 2,5 - 3 - 4 - 5. </v>
      </c>
      <c r="E349" s="10" t="str">
        <f>'APÊNDICE II-MEMÓRIA DE CÁLCULO'!E350</f>
        <v xml:space="preserve">KIT </v>
      </c>
      <c r="F349" s="27">
        <f>'APÊNDICE II-MEMÓRIA DE CÁLCULO'!L350</f>
        <v>15</v>
      </c>
      <c r="G349" s="13">
        <f>'APÊNDICE III - MAPA DE PREÇOS'!X349</f>
        <v>380.21</v>
      </c>
      <c r="H349" s="13">
        <f t="shared" si="5"/>
        <v>5703.15</v>
      </c>
    </row>
    <row r="350" spans="1:8" ht="126.75" customHeight="1" x14ac:dyDescent="0.3">
      <c r="A350" s="1">
        <v>346</v>
      </c>
      <c r="B350" s="111">
        <f>'APÊNDICE II-MEMÓRIA DE CÁLCULO'!B351</f>
        <v>16405</v>
      </c>
      <c r="C350" s="111" t="str">
        <f>'APÊNDICE II-MEMÓRIA DE CÁLCULO'!C351</f>
        <v>-</v>
      </c>
      <c r="D350" s="11" t="str">
        <f>'APÊNDICE II-MEMÓRIA DE CÁLCULO'!D351</f>
        <v xml:space="preserve">Kit laringoscópio, material: com cabo metálico antiderrapante  e lâminas em aço inoxidável com acabamento fosco, especificações: Kit laringoscópio, material: com cabo metálico antiderrapante  e lâminas em aço inoxidável com acabamento fosco, com 5 lâminas: 4 lâminas curvas Macintosh nº 1, 2, 3, 4
e 1 lâmina reta Miller nº0. </v>
      </c>
      <c r="E350" s="10" t="str">
        <f>'APÊNDICE II-MEMÓRIA DE CÁLCULO'!E351</f>
        <v>KIT</v>
      </c>
      <c r="F350" s="27">
        <f>'APÊNDICE II-MEMÓRIA DE CÁLCULO'!L351</f>
        <v>10</v>
      </c>
      <c r="G350" s="13">
        <f>'APÊNDICE III - MAPA DE PREÇOS'!X350</f>
        <v>1850.13</v>
      </c>
      <c r="H350" s="13">
        <f t="shared" si="5"/>
        <v>18501.300000000003</v>
      </c>
    </row>
    <row r="351" spans="1:8" ht="24" customHeight="1" x14ac:dyDescent="0.3">
      <c r="A351" s="149" t="s">
        <v>5</v>
      </c>
      <c r="B351" s="150"/>
      <c r="C351" s="150"/>
      <c r="D351" s="150"/>
      <c r="E351" s="150"/>
      <c r="F351" s="150"/>
      <c r="G351" s="151"/>
      <c r="H351" s="75">
        <f>SUM(H5:H350)</f>
        <v>2457258.5999999992</v>
      </c>
    </row>
    <row r="352" spans="1:8" ht="31.5" customHeight="1" x14ac:dyDescent="0.3">
      <c r="A352" s="89"/>
      <c r="B352" s="89"/>
      <c r="C352" s="89"/>
      <c r="D352" s="89"/>
      <c r="E352" s="89"/>
      <c r="F352" s="89"/>
      <c r="G352" s="89"/>
      <c r="H352" s="90"/>
    </row>
  </sheetData>
  <mergeCells count="4">
    <mergeCell ref="A1:H1"/>
    <mergeCell ref="A3:H3"/>
    <mergeCell ref="A2:H2"/>
    <mergeCell ref="A351:G351"/>
  </mergeCells>
  <pageMargins left="0.511811024" right="0.511811024" top="0.78740157499999996" bottom="0.78740157499999996" header="0.31496062000000002" footer="0.31496062000000002"/>
  <pageSetup paperSize="9" scale="85" orientation="portrait" r:id="rId1"/>
  <drawing r:id="rId2"/>
  <legacyDrawing r:id="rId3"/>
  <oleObjects>
    <mc:AlternateContent xmlns:mc="http://schemas.openxmlformats.org/markup-compatibility/2006">
      <mc:Choice Requires="x14">
        <oleObject progId="CorelDraw.Graphic.17" shapeId="7173" r:id="rId4">
          <objectPr defaultSize="0" autoPict="0" r:id="rId5">
            <anchor moveWithCells="1" sizeWithCells="1">
              <from>
                <xdr:col>3</xdr:col>
                <xdr:colOff>1285875</xdr:colOff>
                <xdr:row>0</xdr:row>
                <xdr:rowOff>0</xdr:rowOff>
              </from>
              <to>
                <xdr:col>4</xdr:col>
                <xdr:colOff>142875</xdr:colOff>
                <xdr:row>1</xdr:row>
                <xdr:rowOff>0</xdr:rowOff>
              </to>
            </anchor>
          </objectPr>
        </oleObject>
      </mc:Choice>
      <mc:Fallback>
        <oleObject progId="CorelDraw.Graphic.17" shapeId="71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20"/>
  <sheetViews>
    <sheetView topLeftCell="A310" zoomScaleNormal="90" zoomScaleSheetLayoutView="100" workbookViewId="0">
      <selection activeCell="M114" sqref="M114"/>
    </sheetView>
  </sheetViews>
  <sheetFormatPr defaultColWidth="8.85546875" defaultRowHeight="12.75" x14ac:dyDescent="0.2"/>
  <cols>
    <col min="1" max="1" width="8.28515625" style="91" customWidth="1"/>
    <col min="2" max="2" width="8.85546875" style="91" customWidth="1"/>
    <col min="3" max="3" width="8.7109375" style="91" customWidth="1"/>
    <col min="4" max="4" width="38.42578125" style="108" customWidth="1"/>
    <col min="5" max="5" width="14.5703125" style="91" customWidth="1"/>
    <col min="6" max="7" width="13.5703125" style="91" customWidth="1"/>
    <col min="8" max="8" width="10.5703125" style="91" customWidth="1"/>
    <col min="9" max="9" width="13.5703125" style="91" customWidth="1"/>
    <col min="10" max="10" width="15.140625" style="91" customWidth="1"/>
    <col min="11" max="11" width="12.28515625" style="91" customWidth="1"/>
    <col min="12" max="12" width="11.85546875" style="92" customWidth="1"/>
    <col min="13" max="13" width="13.42578125" style="140" customWidth="1"/>
    <col min="14" max="16384" width="8.85546875" style="91"/>
  </cols>
  <sheetData>
    <row r="1" spans="1:13" ht="69.599999999999994" customHeight="1" x14ac:dyDescent="0.2">
      <c r="A1" s="155"/>
      <c r="B1" s="155"/>
      <c r="C1" s="155"/>
      <c r="D1" s="155"/>
    </row>
    <row r="2" spans="1:13" ht="68.25" customHeight="1" x14ac:dyDescent="0.2">
      <c r="A2" s="164" t="s">
        <v>9</v>
      </c>
      <c r="B2" s="164"/>
      <c r="C2" s="164"/>
      <c r="D2" s="164"/>
      <c r="E2" s="164"/>
      <c r="F2" s="164"/>
      <c r="G2" s="164"/>
      <c r="H2" s="164"/>
      <c r="I2" s="164"/>
      <c r="J2" s="164"/>
      <c r="K2" s="164"/>
      <c r="L2" s="164"/>
    </row>
    <row r="3" spans="1:13" ht="16.5" customHeight="1" x14ac:dyDescent="0.2">
      <c r="A3" s="157" t="s">
        <v>326</v>
      </c>
      <c r="B3" s="158"/>
      <c r="C3" s="158"/>
      <c r="D3" s="158"/>
      <c r="E3" s="158"/>
      <c r="F3" s="158"/>
      <c r="G3" s="158"/>
      <c r="H3" s="158"/>
      <c r="I3" s="158"/>
      <c r="J3" s="158"/>
      <c r="K3" s="158"/>
      <c r="L3" s="158"/>
      <c r="M3" s="159"/>
    </row>
    <row r="4" spans="1:13" ht="30.6" customHeight="1" x14ac:dyDescent="0.2">
      <c r="A4" s="156" t="s">
        <v>0</v>
      </c>
      <c r="B4" s="156" t="s">
        <v>16</v>
      </c>
      <c r="C4" s="156" t="s">
        <v>1</v>
      </c>
      <c r="D4" s="156" t="s">
        <v>2</v>
      </c>
      <c r="E4" s="156" t="s">
        <v>8</v>
      </c>
      <c r="F4" s="156" t="s">
        <v>10</v>
      </c>
      <c r="G4" s="156"/>
      <c r="H4" s="156"/>
      <c r="I4" s="156"/>
      <c r="J4" s="162" t="s">
        <v>33</v>
      </c>
      <c r="K4" s="162"/>
      <c r="L4" s="163" t="s">
        <v>36</v>
      </c>
      <c r="M4" s="160" t="s">
        <v>947</v>
      </c>
    </row>
    <row r="5" spans="1:13" ht="76.5" x14ac:dyDescent="0.2">
      <c r="A5" s="156"/>
      <c r="B5" s="156"/>
      <c r="C5" s="156"/>
      <c r="D5" s="156"/>
      <c r="E5" s="156"/>
      <c r="F5" s="129" t="s">
        <v>922</v>
      </c>
      <c r="G5" s="129" t="s">
        <v>921</v>
      </c>
      <c r="H5" s="130" t="s">
        <v>916</v>
      </c>
      <c r="I5" s="130" t="s">
        <v>917</v>
      </c>
      <c r="J5" s="130" t="s">
        <v>34</v>
      </c>
      <c r="K5" s="130" t="s">
        <v>35</v>
      </c>
      <c r="L5" s="163"/>
      <c r="M5" s="161"/>
    </row>
    <row r="6" spans="1:13" ht="118.5" customHeight="1" x14ac:dyDescent="0.2">
      <c r="A6" s="43">
        <v>1</v>
      </c>
      <c r="B6" s="48">
        <v>12234</v>
      </c>
      <c r="C6" s="44">
        <v>281657</v>
      </c>
      <c r="D6" s="97" t="s">
        <v>52</v>
      </c>
      <c r="E6" s="45" t="s">
        <v>51</v>
      </c>
      <c r="F6" s="131">
        <v>1716</v>
      </c>
      <c r="G6" s="33" t="s">
        <v>31</v>
      </c>
      <c r="H6" s="14">
        <v>0</v>
      </c>
      <c r="I6" s="46">
        <f>(H6/11)*12</f>
        <v>0</v>
      </c>
      <c r="J6" s="76">
        <f t="shared" ref="J6:J68" si="0">1+K6</f>
        <v>1.1000000000000001</v>
      </c>
      <c r="K6" s="77">
        <v>0.1</v>
      </c>
      <c r="L6" s="122">
        <v>2400</v>
      </c>
      <c r="M6" s="139" t="s">
        <v>31</v>
      </c>
    </row>
    <row r="7" spans="1:13" ht="118.5" customHeight="1" x14ac:dyDescent="0.2">
      <c r="A7" s="43">
        <v>2</v>
      </c>
      <c r="B7" s="48">
        <v>12572</v>
      </c>
      <c r="C7" s="44">
        <v>301728</v>
      </c>
      <c r="D7" s="98" t="s">
        <v>53</v>
      </c>
      <c r="E7" s="47" t="s">
        <v>48</v>
      </c>
      <c r="F7" s="131" t="s">
        <v>31</v>
      </c>
      <c r="G7" s="33">
        <v>8000</v>
      </c>
      <c r="H7" s="14">
        <v>0</v>
      </c>
      <c r="I7" s="46">
        <f t="shared" ref="I7:I70" si="1">(H7/11)*12</f>
        <v>0</v>
      </c>
      <c r="J7" s="76">
        <f t="shared" si="0"/>
        <v>1.1000000000000001</v>
      </c>
      <c r="K7" s="77">
        <v>0.1</v>
      </c>
      <c r="L7" s="46" t="s">
        <v>31</v>
      </c>
      <c r="M7" s="178">
        <v>8000</v>
      </c>
    </row>
    <row r="8" spans="1:13" ht="154.5" customHeight="1" x14ac:dyDescent="0.2">
      <c r="A8" s="43">
        <v>3</v>
      </c>
      <c r="B8" s="48">
        <v>12235</v>
      </c>
      <c r="C8" s="44">
        <v>358051</v>
      </c>
      <c r="D8" s="99" t="s">
        <v>926</v>
      </c>
      <c r="E8" s="47" t="s">
        <v>48</v>
      </c>
      <c r="F8" s="131">
        <v>1600</v>
      </c>
      <c r="G8" s="33" t="s">
        <v>31</v>
      </c>
      <c r="H8" s="12">
        <v>0</v>
      </c>
      <c r="I8" s="46">
        <f t="shared" si="1"/>
        <v>0</v>
      </c>
      <c r="J8" s="76">
        <f t="shared" si="0"/>
        <v>1.1000000000000001</v>
      </c>
      <c r="K8" s="77">
        <v>0.1</v>
      </c>
      <c r="L8" s="122">
        <v>1600</v>
      </c>
      <c r="M8" s="139" t="s">
        <v>31</v>
      </c>
    </row>
    <row r="9" spans="1:13" ht="118.5" customHeight="1" x14ac:dyDescent="0.2">
      <c r="A9" s="43">
        <v>4</v>
      </c>
      <c r="B9" s="48">
        <v>12236</v>
      </c>
      <c r="C9" s="44">
        <v>445470</v>
      </c>
      <c r="D9" s="100" t="s">
        <v>54</v>
      </c>
      <c r="E9" s="47" t="s">
        <v>51</v>
      </c>
      <c r="F9" s="131">
        <v>40.28</v>
      </c>
      <c r="G9" s="33" t="s">
        <v>31</v>
      </c>
      <c r="H9" s="12">
        <v>0</v>
      </c>
      <c r="I9" s="46">
        <f t="shared" si="1"/>
        <v>0</v>
      </c>
      <c r="J9" s="76">
        <f t="shared" si="0"/>
        <v>1.1000000000000001</v>
      </c>
      <c r="K9" s="77">
        <v>0.1</v>
      </c>
      <c r="L9" s="122">
        <v>52</v>
      </c>
      <c r="M9" s="139" t="s">
        <v>31</v>
      </c>
    </row>
    <row r="10" spans="1:13" ht="118.5" customHeight="1" x14ac:dyDescent="0.2">
      <c r="A10" s="43">
        <v>5</v>
      </c>
      <c r="B10" s="48">
        <v>12237</v>
      </c>
      <c r="C10" s="44">
        <v>277319</v>
      </c>
      <c r="D10" s="99" t="s">
        <v>325</v>
      </c>
      <c r="E10" s="45" t="s">
        <v>51</v>
      </c>
      <c r="F10" s="131">
        <v>163.68</v>
      </c>
      <c r="G10" s="33" t="s">
        <v>31</v>
      </c>
      <c r="H10" s="12">
        <v>0</v>
      </c>
      <c r="I10" s="46">
        <f t="shared" si="1"/>
        <v>0</v>
      </c>
      <c r="J10" s="76">
        <f t="shared" si="0"/>
        <v>1.1000000000000001</v>
      </c>
      <c r="K10" s="77">
        <v>0.1</v>
      </c>
      <c r="L10" s="46">
        <v>108</v>
      </c>
      <c r="M10" s="139" t="s">
        <v>31</v>
      </c>
    </row>
    <row r="11" spans="1:13" ht="118.5" customHeight="1" x14ac:dyDescent="0.2">
      <c r="A11" s="43">
        <v>6</v>
      </c>
      <c r="B11" s="48">
        <v>12238</v>
      </c>
      <c r="C11" s="44">
        <v>269941</v>
      </c>
      <c r="D11" s="99" t="s">
        <v>55</v>
      </c>
      <c r="E11" s="47" t="s">
        <v>51</v>
      </c>
      <c r="F11" s="131">
        <v>2640</v>
      </c>
      <c r="G11" s="33" t="s">
        <v>31</v>
      </c>
      <c r="H11" s="12">
        <v>1976</v>
      </c>
      <c r="I11" s="46">
        <f t="shared" si="1"/>
        <v>2155.6363636363635</v>
      </c>
      <c r="J11" s="76">
        <f t="shared" si="0"/>
        <v>1.1000000000000001</v>
      </c>
      <c r="K11" s="77">
        <v>0.1</v>
      </c>
      <c r="L11" s="122">
        <v>2820</v>
      </c>
      <c r="M11" s="139" t="s">
        <v>31</v>
      </c>
    </row>
    <row r="12" spans="1:13" ht="165" customHeight="1" x14ac:dyDescent="0.2">
      <c r="A12" s="43">
        <v>7</v>
      </c>
      <c r="B12" s="48">
        <v>12240</v>
      </c>
      <c r="C12" s="48" t="s">
        <v>31</v>
      </c>
      <c r="D12" s="97" t="s">
        <v>56</v>
      </c>
      <c r="E12" s="45" t="s">
        <v>45</v>
      </c>
      <c r="F12" s="131">
        <v>250</v>
      </c>
      <c r="G12" s="33" t="s">
        <v>31</v>
      </c>
      <c r="H12" s="12">
        <v>0</v>
      </c>
      <c r="I12" s="46">
        <f t="shared" si="1"/>
        <v>0</v>
      </c>
      <c r="J12" s="76">
        <f t="shared" si="0"/>
        <v>1.1000000000000001</v>
      </c>
      <c r="K12" s="77">
        <v>0.1</v>
      </c>
      <c r="L12" s="122">
        <v>3600</v>
      </c>
      <c r="M12" s="139" t="s">
        <v>31</v>
      </c>
    </row>
    <row r="13" spans="1:13" ht="165" customHeight="1" x14ac:dyDescent="0.2">
      <c r="A13" s="43">
        <v>8</v>
      </c>
      <c r="B13" s="48">
        <v>12241</v>
      </c>
      <c r="C13" s="48" t="s">
        <v>31</v>
      </c>
      <c r="D13" s="97" t="s">
        <v>57</v>
      </c>
      <c r="E13" s="45" t="s">
        <v>45</v>
      </c>
      <c r="F13" s="131">
        <v>17160</v>
      </c>
      <c r="G13" s="33" t="s">
        <v>31</v>
      </c>
      <c r="H13" s="12">
        <v>49888</v>
      </c>
      <c r="I13" s="46">
        <f t="shared" si="1"/>
        <v>54423.272727272721</v>
      </c>
      <c r="J13" s="76">
        <f t="shared" si="0"/>
        <v>1.1000000000000001</v>
      </c>
      <c r="K13" s="77">
        <v>0.1</v>
      </c>
      <c r="L13" s="122">
        <v>70000</v>
      </c>
      <c r="M13" s="139" t="s">
        <v>31</v>
      </c>
    </row>
    <row r="14" spans="1:13" ht="165" customHeight="1" x14ac:dyDescent="0.2">
      <c r="A14" s="43">
        <v>9</v>
      </c>
      <c r="B14" s="48">
        <v>12242</v>
      </c>
      <c r="C14" s="44">
        <v>397511</v>
      </c>
      <c r="D14" s="97" t="s">
        <v>58</v>
      </c>
      <c r="E14" s="45" t="s">
        <v>45</v>
      </c>
      <c r="F14" s="131">
        <v>39600</v>
      </c>
      <c r="G14" s="33" t="s">
        <v>31</v>
      </c>
      <c r="H14" s="12">
        <v>44866</v>
      </c>
      <c r="I14" s="46">
        <f t="shared" si="1"/>
        <v>48944.727272727272</v>
      </c>
      <c r="J14" s="76">
        <f t="shared" si="0"/>
        <v>1.1000000000000001</v>
      </c>
      <c r="K14" s="77">
        <v>0.1</v>
      </c>
      <c r="L14" s="122">
        <v>53800</v>
      </c>
      <c r="M14" s="139" t="s">
        <v>31</v>
      </c>
    </row>
    <row r="15" spans="1:13" ht="165" customHeight="1" x14ac:dyDescent="0.2">
      <c r="A15" s="43">
        <v>10</v>
      </c>
      <c r="B15" s="48">
        <v>12243</v>
      </c>
      <c r="C15" s="44">
        <v>439811</v>
      </c>
      <c r="D15" s="99" t="s">
        <v>59</v>
      </c>
      <c r="E15" s="47" t="s">
        <v>45</v>
      </c>
      <c r="F15" s="131">
        <v>35000</v>
      </c>
      <c r="G15" s="33" t="s">
        <v>31</v>
      </c>
      <c r="H15" s="12">
        <v>1300</v>
      </c>
      <c r="I15" s="46">
        <f t="shared" si="1"/>
        <v>1418.1818181818182</v>
      </c>
      <c r="J15" s="76">
        <f t="shared" si="0"/>
        <v>1.1000000000000001</v>
      </c>
      <c r="K15" s="77">
        <v>0.1</v>
      </c>
      <c r="L15" s="46">
        <v>1500</v>
      </c>
      <c r="M15" s="139" t="s">
        <v>31</v>
      </c>
    </row>
    <row r="16" spans="1:13" ht="165" customHeight="1" x14ac:dyDescent="0.2">
      <c r="A16" s="43">
        <v>11</v>
      </c>
      <c r="B16" s="48">
        <v>12244</v>
      </c>
      <c r="C16" s="44">
        <v>439810</v>
      </c>
      <c r="D16" s="99" t="s">
        <v>61</v>
      </c>
      <c r="E16" s="47" t="s">
        <v>45</v>
      </c>
      <c r="F16" s="131">
        <v>1320</v>
      </c>
      <c r="G16" s="33" t="s">
        <v>31</v>
      </c>
      <c r="H16" s="12">
        <v>2736</v>
      </c>
      <c r="I16" s="46">
        <f t="shared" si="1"/>
        <v>2984.7272727272725</v>
      </c>
      <c r="J16" s="78">
        <f t="shared" si="0"/>
        <v>1.1000000000000001</v>
      </c>
      <c r="K16" s="79">
        <v>0.1</v>
      </c>
      <c r="L16" s="46">
        <v>3300</v>
      </c>
      <c r="M16" s="139" t="s">
        <v>31</v>
      </c>
    </row>
    <row r="17" spans="1:13" ht="165" customHeight="1" x14ac:dyDescent="0.2">
      <c r="A17" s="43">
        <v>12</v>
      </c>
      <c r="B17" s="48">
        <v>12245</v>
      </c>
      <c r="C17" s="44">
        <v>439813</v>
      </c>
      <c r="D17" s="99" t="s">
        <v>62</v>
      </c>
      <c r="E17" s="47" t="s">
        <v>45</v>
      </c>
      <c r="F17" s="131">
        <v>2500</v>
      </c>
      <c r="G17" s="33" t="s">
        <v>31</v>
      </c>
      <c r="H17" s="12">
        <v>2600</v>
      </c>
      <c r="I17" s="46">
        <f t="shared" si="1"/>
        <v>2836.3636363636365</v>
      </c>
      <c r="J17" s="76">
        <f t="shared" si="0"/>
        <v>1.1000000000000001</v>
      </c>
      <c r="K17" s="77">
        <v>0.1</v>
      </c>
      <c r="L17" s="46">
        <v>3200</v>
      </c>
      <c r="M17" s="139" t="s">
        <v>31</v>
      </c>
    </row>
    <row r="18" spans="1:13" ht="165" customHeight="1" x14ac:dyDescent="0.2">
      <c r="A18" s="43">
        <v>13</v>
      </c>
      <c r="B18" s="48">
        <v>12246</v>
      </c>
      <c r="C18" s="48">
        <v>279726</v>
      </c>
      <c r="D18" s="97" t="s">
        <v>63</v>
      </c>
      <c r="E18" s="45" t="s">
        <v>48</v>
      </c>
      <c r="F18" s="131">
        <v>1320</v>
      </c>
      <c r="G18" s="33" t="s">
        <v>31</v>
      </c>
      <c r="H18" s="12">
        <v>802</v>
      </c>
      <c r="I18" s="46">
        <f t="shared" si="1"/>
        <v>874.90909090909088</v>
      </c>
      <c r="J18" s="76">
        <f t="shared" si="0"/>
        <v>1.1000000000000001</v>
      </c>
      <c r="K18" s="77">
        <v>0.1</v>
      </c>
      <c r="L18" s="46">
        <f t="shared" ref="L18:L45" si="2">ROUND(I18*J18,)</f>
        <v>962</v>
      </c>
      <c r="M18" s="139" t="s">
        <v>31</v>
      </c>
    </row>
    <row r="19" spans="1:13" ht="165" customHeight="1" x14ac:dyDescent="0.2">
      <c r="A19" s="43">
        <v>14</v>
      </c>
      <c r="B19" s="48">
        <v>12247</v>
      </c>
      <c r="C19" s="44">
        <v>448248</v>
      </c>
      <c r="D19" s="97" t="s">
        <v>64</v>
      </c>
      <c r="E19" s="45" t="s">
        <v>60</v>
      </c>
      <c r="F19" s="131">
        <v>1000</v>
      </c>
      <c r="G19" s="33" t="s">
        <v>31</v>
      </c>
      <c r="H19" s="12">
        <v>61</v>
      </c>
      <c r="I19" s="46">
        <f t="shared" si="1"/>
        <v>66.545454545454547</v>
      </c>
      <c r="J19" s="76">
        <f t="shared" si="0"/>
        <v>1.1000000000000001</v>
      </c>
      <c r="K19" s="77">
        <v>0.1</v>
      </c>
      <c r="L19" s="122">
        <v>240</v>
      </c>
      <c r="M19" s="139" t="s">
        <v>31</v>
      </c>
    </row>
    <row r="20" spans="1:13" ht="165" customHeight="1" x14ac:dyDescent="0.2">
      <c r="A20" s="43">
        <v>15</v>
      </c>
      <c r="B20" s="48">
        <v>12248</v>
      </c>
      <c r="C20" s="44">
        <v>444355</v>
      </c>
      <c r="D20" s="97" t="s">
        <v>65</v>
      </c>
      <c r="E20" s="45" t="s">
        <v>60</v>
      </c>
      <c r="F20" s="131">
        <v>105.6</v>
      </c>
      <c r="G20" s="33" t="s">
        <v>31</v>
      </c>
      <c r="H20" s="12">
        <v>5688</v>
      </c>
      <c r="I20" s="46">
        <f t="shared" si="1"/>
        <v>6205.0909090909099</v>
      </c>
      <c r="J20" s="76">
        <f t="shared" si="0"/>
        <v>1.1000000000000001</v>
      </c>
      <c r="K20" s="77">
        <v>0.1</v>
      </c>
      <c r="L20" s="46">
        <f t="shared" si="2"/>
        <v>6826</v>
      </c>
      <c r="M20" s="139" t="s">
        <v>31</v>
      </c>
    </row>
    <row r="21" spans="1:13" ht="165" customHeight="1" x14ac:dyDescent="0.2">
      <c r="A21" s="43">
        <v>16</v>
      </c>
      <c r="B21" s="48">
        <v>12249</v>
      </c>
      <c r="C21" s="44">
        <v>444365</v>
      </c>
      <c r="D21" s="97" t="s">
        <v>66</v>
      </c>
      <c r="E21" s="45" t="s">
        <v>60</v>
      </c>
      <c r="F21" s="131">
        <v>30000</v>
      </c>
      <c r="G21" s="33" t="s">
        <v>31</v>
      </c>
      <c r="H21" s="12">
        <v>18036</v>
      </c>
      <c r="I21" s="46">
        <f t="shared" si="1"/>
        <v>19675.636363636364</v>
      </c>
      <c r="J21" s="76">
        <f t="shared" si="0"/>
        <v>1.1000000000000001</v>
      </c>
      <c r="K21" s="77">
        <v>0.1</v>
      </c>
      <c r="L21" s="46">
        <f t="shared" si="2"/>
        <v>21643</v>
      </c>
      <c r="M21" s="139" t="s">
        <v>31</v>
      </c>
    </row>
    <row r="22" spans="1:13" ht="165" customHeight="1" x14ac:dyDescent="0.2">
      <c r="A22" s="43">
        <v>17</v>
      </c>
      <c r="B22" s="48">
        <v>12250</v>
      </c>
      <c r="C22" s="44">
        <v>444371</v>
      </c>
      <c r="D22" s="97" t="s">
        <v>67</v>
      </c>
      <c r="E22" s="45" t="s">
        <v>60</v>
      </c>
      <c r="F22" s="132">
        <v>20000</v>
      </c>
      <c r="G22" s="33" t="s">
        <v>31</v>
      </c>
      <c r="H22" s="12">
        <v>3426</v>
      </c>
      <c r="I22" s="46">
        <f t="shared" si="1"/>
        <v>3737.454545454545</v>
      </c>
      <c r="J22" s="76">
        <f t="shared" si="0"/>
        <v>1.1000000000000001</v>
      </c>
      <c r="K22" s="77">
        <v>0.1</v>
      </c>
      <c r="L22" s="46">
        <f t="shared" si="2"/>
        <v>4111</v>
      </c>
      <c r="M22" s="139" t="s">
        <v>31</v>
      </c>
    </row>
    <row r="23" spans="1:13" ht="165" customHeight="1" x14ac:dyDescent="0.2">
      <c r="A23" s="43">
        <v>18</v>
      </c>
      <c r="B23" s="48">
        <v>12251</v>
      </c>
      <c r="C23" s="44">
        <v>444610</v>
      </c>
      <c r="D23" s="97" t="s">
        <v>68</v>
      </c>
      <c r="E23" s="45" t="s">
        <v>60</v>
      </c>
      <c r="F23" s="131">
        <v>15000</v>
      </c>
      <c r="G23" s="33" t="s">
        <v>31</v>
      </c>
      <c r="H23" s="12">
        <v>520</v>
      </c>
      <c r="I23" s="46">
        <f t="shared" si="1"/>
        <v>567.27272727272725</v>
      </c>
      <c r="J23" s="76">
        <f t="shared" si="0"/>
        <v>1.1000000000000001</v>
      </c>
      <c r="K23" s="77">
        <v>0.1</v>
      </c>
      <c r="L23" s="46">
        <v>620</v>
      </c>
      <c r="M23" s="139" t="s">
        <v>31</v>
      </c>
    </row>
    <row r="24" spans="1:13" ht="165" customHeight="1" x14ac:dyDescent="0.2">
      <c r="A24" s="43">
        <v>19</v>
      </c>
      <c r="B24" s="48">
        <v>12252</v>
      </c>
      <c r="C24" s="44">
        <v>444613</v>
      </c>
      <c r="D24" s="97" t="s">
        <v>69</v>
      </c>
      <c r="E24" s="45" t="s">
        <v>60</v>
      </c>
      <c r="F24" s="131">
        <v>343.2</v>
      </c>
      <c r="G24" s="33" t="s">
        <v>31</v>
      </c>
      <c r="H24" s="12">
        <v>506</v>
      </c>
      <c r="I24" s="46">
        <f t="shared" si="1"/>
        <v>552</v>
      </c>
      <c r="J24" s="76">
        <f t="shared" si="0"/>
        <v>1.1000000000000001</v>
      </c>
      <c r="K24" s="77">
        <v>0.1</v>
      </c>
      <c r="L24" s="46">
        <f t="shared" si="2"/>
        <v>607</v>
      </c>
      <c r="M24" s="139" t="s">
        <v>31</v>
      </c>
    </row>
    <row r="25" spans="1:13" ht="165" customHeight="1" x14ac:dyDescent="0.2">
      <c r="A25" s="43">
        <v>20</v>
      </c>
      <c r="B25" s="48">
        <v>12253</v>
      </c>
      <c r="C25" s="44">
        <v>444614</v>
      </c>
      <c r="D25" s="101" t="s">
        <v>70</v>
      </c>
      <c r="E25" s="45" t="s">
        <v>60</v>
      </c>
      <c r="F25" s="132">
        <v>199.6</v>
      </c>
      <c r="G25" s="33" t="s">
        <v>31</v>
      </c>
      <c r="H25" s="12">
        <v>224</v>
      </c>
      <c r="I25" s="46">
        <f t="shared" si="1"/>
        <v>244.36363636363637</v>
      </c>
      <c r="J25" s="76">
        <f t="shared" si="0"/>
        <v>1.1000000000000001</v>
      </c>
      <c r="K25" s="77">
        <v>0.1</v>
      </c>
      <c r="L25" s="46">
        <v>280</v>
      </c>
      <c r="M25" s="139" t="s">
        <v>31</v>
      </c>
    </row>
    <row r="26" spans="1:13" ht="165" customHeight="1" x14ac:dyDescent="0.2">
      <c r="A26" s="43">
        <v>21</v>
      </c>
      <c r="B26" s="48">
        <v>12254</v>
      </c>
      <c r="C26" s="44">
        <v>348807</v>
      </c>
      <c r="D26" s="101" t="s">
        <v>71</v>
      </c>
      <c r="E26" s="45" t="s">
        <v>48</v>
      </c>
      <c r="F26" s="131">
        <v>105.6</v>
      </c>
      <c r="G26" s="33" t="s">
        <v>31</v>
      </c>
      <c r="H26" s="12">
        <v>220</v>
      </c>
      <c r="I26" s="46">
        <f t="shared" si="1"/>
        <v>240</v>
      </c>
      <c r="J26" s="76">
        <f t="shared" si="0"/>
        <v>1.1000000000000001</v>
      </c>
      <c r="K26" s="77">
        <v>0.1</v>
      </c>
      <c r="L26" s="46">
        <f t="shared" si="2"/>
        <v>264</v>
      </c>
      <c r="M26" s="139" t="s">
        <v>31</v>
      </c>
    </row>
    <row r="27" spans="1:13" ht="118.5" customHeight="1" x14ac:dyDescent="0.2">
      <c r="A27" s="43">
        <v>22</v>
      </c>
      <c r="B27" s="48">
        <v>12255</v>
      </c>
      <c r="C27" s="44">
        <v>456409</v>
      </c>
      <c r="D27" s="101" t="s">
        <v>72</v>
      </c>
      <c r="E27" s="45" t="s">
        <v>45</v>
      </c>
      <c r="F27" s="131">
        <v>171.6</v>
      </c>
      <c r="G27" s="33" t="s">
        <v>31</v>
      </c>
      <c r="H27" s="12">
        <v>10</v>
      </c>
      <c r="I27" s="46">
        <f t="shared" si="1"/>
        <v>10.909090909090908</v>
      </c>
      <c r="J27" s="76">
        <f t="shared" si="0"/>
        <v>1.1000000000000001</v>
      </c>
      <c r="K27" s="77">
        <v>0.1</v>
      </c>
      <c r="L27" s="122">
        <v>170</v>
      </c>
      <c r="M27" s="139" t="s">
        <v>31</v>
      </c>
    </row>
    <row r="28" spans="1:13" ht="118.5" customHeight="1" x14ac:dyDescent="0.2">
      <c r="A28" s="43">
        <v>23</v>
      </c>
      <c r="B28" s="48">
        <v>12256</v>
      </c>
      <c r="C28" s="44">
        <v>456413</v>
      </c>
      <c r="D28" s="101" t="s">
        <v>73</v>
      </c>
      <c r="E28" s="45" t="s">
        <v>45</v>
      </c>
      <c r="F28" s="131">
        <v>23.96</v>
      </c>
      <c r="G28" s="33" t="s">
        <v>31</v>
      </c>
      <c r="H28" s="12">
        <v>5</v>
      </c>
      <c r="I28" s="46">
        <f t="shared" si="1"/>
        <v>5.4545454545454541</v>
      </c>
      <c r="J28" s="76">
        <f t="shared" si="0"/>
        <v>1.1000000000000001</v>
      </c>
      <c r="K28" s="77">
        <v>0.1</v>
      </c>
      <c r="L28" s="122">
        <v>24</v>
      </c>
      <c r="M28" s="139" t="s">
        <v>31</v>
      </c>
    </row>
    <row r="29" spans="1:13" ht="118.5" customHeight="1" x14ac:dyDescent="0.2">
      <c r="A29" s="43">
        <v>24</v>
      </c>
      <c r="B29" s="48">
        <v>12257</v>
      </c>
      <c r="C29" s="44">
        <v>434250</v>
      </c>
      <c r="D29" s="100" t="s">
        <v>74</v>
      </c>
      <c r="E29" s="45" t="s">
        <v>45</v>
      </c>
      <c r="F29" s="132">
        <v>3000</v>
      </c>
      <c r="G29" s="33" t="s">
        <v>31</v>
      </c>
      <c r="H29" s="12">
        <v>1500</v>
      </c>
      <c r="I29" s="46">
        <f t="shared" si="1"/>
        <v>1636.3636363636365</v>
      </c>
      <c r="J29" s="76">
        <f t="shared" si="0"/>
        <v>1.1000000000000001</v>
      </c>
      <c r="K29" s="77">
        <v>0.1</v>
      </c>
      <c r="L29" s="46">
        <f t="shared" si="2"/>
        <v>1800</v>
      </c>
      <c r="M29" s="139" t="s">
        <v>31</v>
      </c>
    </row>
    <row r="30" spans="1:13" s="92" customFormat="1" ht="141.75" customHeight="1" x14ac:dyDescent="0.2">
      <c r="A30" s="43">
        <v>25</v>
      </c>
      <c r="B30" s="48">
        <v>12258</v>
      </c>
      <c r="C30" s="48" t="s">
        <v>31</v>
      </c>
      <c r="D30" s="99" t="s">
        <v>75</v>
      </c>
      <c r="E30" s="47" t="s">
        <v>45</v>
      </c>
      <c r="F30" s="132">
        <v>3000</v>
      </c>
      <c r="G30" s="33" t="s">
        <v>31</v>
      </c>
      <c r="H30" s="53">
        <v>0</v>
      </c>
      <c r="I30" s="46">
        <f t="shared" si="1"/>
        <v>0</v>
      </c>
      <c r="J30" s="123">
        <f t="shared" si="0"/>
        <v>1.1000000000000001</v>
      </c>
      <c r="K30" s="124">
        <v>0.1</v>
      </c>
      <c r="L30" s="122">
        <v>1000</v>
      </c>
      <c r="M30" s="139" t="s">
        <v>31</v>
      </c>
    </row>
    <row r="31" spans="1:13" s="92" customFormat="1" ht="118.5" customHeight="1" x14ac:dyDescent="0.2">
      <c r="A31" s="43">
        <v>26</v>
      </c>
      <c r="B31" s="48">
        <v>16608</v>
      </c>
      <c r="C31" s="52" t="s">
        <v>31</v>
      </c>
      <c r="D31" s="100" t="s">
        <v>76</v>
      </c>
      <c r="E31" s="47" t="s">
        <v>45</v>
      </c>
      <c r="F31" s="132">
        <v>264</v>
      </c>
      <c r="G31" s="33" t="s">
        <v>31</v>
      </c>
      <c r="H31" s="53">
        <v>264</v>
      </c>
      <c r="I31" s="46">
        <f t="shared" si="1"/>
        <v>288</v>
      </c>
      <c r="J31" s="123">
        <f t="shared" si="0"/>
        <v>1.1000000000000001</v>
      </c>
      <c r="K31" s="124">
        <v>0.1</v>
      </c>
      <c r="L31" s="46">
        <f t="shared" si="2"/>
        <v>317</v>
      </c>
      <c r="M31" s="139" t="s">
        <v>31</v>
      </c>
    </row>
    <row r="32" spans="1:13" ht="118.5" customHeight="1" x14ac:dyDescent="0.2">
      <c r="A32" s="43">
        <v>27</v>
      </c>
      <c r="B32" s="48">
        <v>12260</v>
      </c>
      <c r="C32" s="44" t="s">
        <v>31</v>
      </c>
      <c r="D32" s="101" t="s">
        <v>77</v>
      </c>
      <c r="E32" s="45" t="s">
        <v>48</v>
      </c>
      <c r="F32" s="131">
        <v>134.63999999999999</v>
      </c>
      <c r="G32" s="33" t="s">
        <v>31</v>
      </c>
      <c r="H32" s="12">
        <v>108</v>
      </c>
      <c r="I32" s="46">
        <f t="shared" si="1"/>
        <v>117.81818181818181</v>
      </c>
      <c r="J32" s="76">
        <f t="shared" si="0"/>
        <v>1.1000000000000001</v>
      </c>
      <c r="K32" s="77">
        <v>0.1</v>
      </c>
      <c r="L32" s="46">
        <f t="shared" si="2"/>
        <v>130</v>
      </c>
      <c r="M32" s="139" t="s">
        <v>31</v>
      </c>
    </row>
    <row r="33" spans="1:13" ht="118.5" customHeight="1" x14ac:dyDescent="0.2">
      <c r="A33" s="43">
        <v>28</v>
      </c>
      <c r="B33" s="48">
        <v>12261</v>
      </c>
      <c r="C33" s="44" t="s">
        <v>31</v>
      </c>
      <c r="D33" s="99" t="s">
        <v>78</v>
      </c>
      <c r="E33" s="45" t="s">
        <v>45</v>
      </c>
      <c r="F33" s="131">
        <v>3</v>
      </c>
      <c r="G33" s="33" t="s">
        <v>31</v>
      </c>
      <c r="H33" s="12">
        <v>1</v>
      </c>
      <c r="I33" s="46">
        <f t="shared" si="1"/>
        <v>1.0909090909090908</v>
      </c>
      <c r="J33" s="76">
        <f t="shared" si="0"/>
        <v>1.1000000000000001</v>
      </c>
      <c r="K33" s="77">
        <v>0.1</v>
      </c>
      <c r="L33" s="122">
        <v>3</v>
      </c>
      <c r="M33" s="139" t="s">
        <v>31</v>
      </c>
    </row>
    <row r="34" spans="1:13" ht="118.5" customHeight="1" x14ac:dyDescent="0.2">
      <c r="A34" s="43">
        <v>29</v>
      </c>
      <c r="B34" s="48">
        <v>12262</v>
      </c>
      <c r="C34" s="44">
        <v>468979</v>
      </c>
      <c r="D34" s="97" t="s">
        <v>79</v>
      </c>
      <c r="E34" s="45" t="s">
        <v>45</v>
      </c>
      <c r="F34" s="131">
        <v>3.3</v>
      </c>
      <c r="G34" s="33" t="s">
        <v>31</v>
      </c>
      <c r="H34" s="12">
        <v>1</v>
      </c>
      <c r="I34" s="46">
        <f t="shared" si="1"/>
        <v>1.0909090909090908</v>
      </c>
      <c r="J34" s="76">
        <f t="shared" si="0"/>
        <v>1.1000000000000001</v>
      </c>
      <c r="K34" s="77">
        <v>0.1</v>
      </c>
      <c r="L34" s="122">
        <v>3</v>
      </c>
      <c r="M34" s="139" t="s">
        <v>31</v>
      </c>
    </row>
    <row r="35" spans="1:13" s="93" customFormat="1" ht="118.5" customHeight="1" x14ac:dyDescent="0.2">
      <c r="A35" s="43">
        <v>30</v>
      </c>
      <c r="B35" s="48">
        <v>12263</v>
      </c>
      <c r="C35" s="44">
        <v>484404</v>
      </c>
      <c r="D35" s="97" t="s">
        <v>80</v>
      </c>
      <c r="E35" s="45" t="s">
        <v>45</v>
      </c>
      <c r="F35" s="131">
        <v>3.3</v>
      </c>
      <c r="G35" s="33" t="s">
        <v>31</v>
      </c>
      <c r="H35" s="16">
        <v>1</v>
      </c>
      <c r="I35" s="46">
        <f t="shared" si="1"/>
        <v>1.0909090909090908</v>
      </c>
      <c r="J35" s="76">
        <f t="shared" si="0"/>
        <v>1.1000000000000001</v>
      </c>
      <c r="K35" s="77">
        <v>0.1</v>
      </c>
      <c r="L35" s="122">
        <v>3</v>
      </c>
      <c r="M35" s="139" t="s">
        <v>31</v>
      </c>
    </row>
    <row r="36" spans="1:13" ht="118.5" customHeight="1" x14ac:dyDescent="0.2">
      <c r="A36" s="43">
        <v>31</v>
      </c>
      <c r="B36" s="48">
        <v>12264</v>
      </c>
      <c r="C36" s="44">
        <v>400781</v>
      </c>
      <c r="D36" s="99" t="s">
        <v>81</v>
      </c>
      <c r="E36" s="45" t="s">
        <v>45</v>
      </c>
      <c r="F36" s="131">
        <v>3.3</v>
      </c>
      <c r="G36" s="33" t="s">
        <v>31</v>
      </c>
      <c r="H36" s="12">
        <v>0</v>
      </c>
      <c r="I36" s="46">
        <f t="shared" si="1"/>
        <v>0</v>
      </c>
      <c r="J36" s="76">
        <f t="shared" si="0"/>
        <v>1.1000000000000001</v>
      </c>
      <c r="K36" s="77">
        <v>0.1</v>
      </c>
      <c r="L36" s="46">
        <v>3</v>
      </c>
      <c r="M36" s="139" t="s">
        <v>31</v>
      </c>
    </row>
    <row r="37" spans="1:13" ht="118.5" customHeight="1" x14ac:dyDescent="0.2">
      <c r="A37" s="43">
        <v>32</v>
      </c>
      <c r="B37" s="48">
        <v>12265</v>
      </c>
      <c r="C37" s="44">
        <v>401291</v>
      </c>
      <c r="D37" s="99" t="s">
        <v>82</v>
      </c>
      <c r="E37" s="45" t="s">
        <v>45</v>
      </c>
      <c r="F37" s="131">
        <v>50</v>
      </c>
      <c r="G37" s="33" t="s">
        <v>31</v>
      </c>
      <c r="H37" s="12">
        <v>20</v>
      </c>
      <c r="I37" s="46">
        <f t="shared" si="1"/>
        <v>21.818181818181817</v>
      </c>
      <c r="J37" s="76">
        <f t="shared" si="0"/>
        <v>1.1000000000000001</v>
      </c>
      <c r="K37" s="77">
        <v>0.1</v>
      </c>
      <c r="L37" s="46">
        <f t="shared" si="2"/>
        <v>24</v>
      </c>
      <c r="M37" s="139" t="s">
        <v>31</v>
      </c>
    </row>
    <row r="38" spans="1:13" ht="118.5" customHeight="1" x14ac:dyDescent="0.2">
      <c r="A38" s="43">
        <v>33</v>
      </c>
      <c r="B38" s="48">
        <v>12266</v>
      </c>
      <c r="C38" s="50">
        <v>443022</v>
      </c>
      <c r="D38" s="102" t="s">
        <v>83</v>
      </c>
      <c r="E38" s="51" t="s">
        <v>48</v>
      </c>
      <c r="F38" s="131">
        <v>50</v>
      </c>
      <c r="G38" s="33" t="s">
        <v>31</v>
      </c>
      <c r="H38" s="12">
        <v>205</v>
      </c>
      <c r="I38" s="46">
        <f t="shared" si="1"/>
        <v>223.63636363636363</v>
      </c>
      <c r="J38" s="76">
        <f t="shared" si="0"/>
        <v>1.1000000000000001</v>
      </c>
      <c r="K38" s="77">
        <v>0.1</v>
      </c>
      <c r="L38" s="46">
        <f t="shared" si="2"/>
        <v>246</v>
      </c>
      <c r="M38" s="139" t="s">
        <v>31</v>
      </c>
    </row>
    <row r="39" spans="1:13" ht="118.5" customHeight="1" x14ac:dyDescent="0.2">
      <c r="A39" s="43">
        <v>34</v>
      </c>
      <c r="B39" s="48">
        <v>12267</v>
      </c>
      <c r="C39" s="44" t="s">
        <v>31</v>
      </c>
      <c r="D39" s="99" t="s">
        <v>84</v>
      </c>
      <c r="E39" s="47" t="s">
        <v>47</v>
      </c>
      <c r="F39" s="131">
        <v>240</v>
      </c>
      <c r="G39" s="33" t="s">
        <v>31</v>
      </c>
      <c r="H39" s="12">
        <v>0</v>
      </c>
      <c r="I39" s="46">
        <f t="shared" si="1"/>
        <v>0</v>
      </c>
      <c r="J39" s="76">
        <f t="shared" si="0"/>
        <v>1.1000000000000001</v>
      </c>
      <c r="K39" s="77">
        <v>0.1</v>
      </c>
      <c r="L39" s="122">
        <v>50</v>
      </c>
      <c r="M39" s="139" t="s">
        <v>31</v>
      </c>
    </row>
    <row r="40" spans="1:13" ht="141" customHeight="1" x14ac:dyDescent="0.2">
      <c r="A40" s="43">
        <v>35</v>
      </c>
      <c r="B40" s="48">
        <v>12268</v>
      </c>
      <c r="C40" s="48">
        <v>269876</v>
      </c>
      <c r="D40" s="99" t="s">
        <v>85</v>
      </c>
      <c r="E40" s="47" t="s">
        <v>51</v>
      </c>
      <c r="F40" s="131">
        <v>900</v>
      </c>
      <c r="G40" s="33" t="s">
        <v>31</v>
      </c>
      <c r="H40" s="12">
        <v>186</v>
      </c>
      <c r="I40" s="46">
        <f t="shared" si="1"/>
        <v>202.90909090909093</v>
      </c>
      <c r="J40" s="76">
        <f t="shared" si="0"/>
        <v>1.1000000000000001</v>
      </c>
      <c r="K40" s="77">
        <v>0.1</v>
      </c>
      <c r="L40" s="46">
        <v>228</v>
      </c>
      <c r="M40" s="139" t="s">
        <v>31</v>
      </c>
    </row>
    <row r="41" spans="1:13" ht="118.5" customHeight="1" x14ac:dyDescent="0.2">
      <c r="A41" s="43">
        <v>36</v>
      </c>
      <c r="B41" s="48">
        <v>12269</v>
      </c>
      <c r="C41" s="44">
        <v>269881</v>
      </c>
      <c r="D41" s="99" t="s">
        <v>86</v>
      </c>
      <c r="E41" s="47" t="s">
        <v>51</v>
      </c>
      <c r="F41" s="131">
        <v>50</v>
      </c>
      <c r="G41" s="33" t="s">
        <v>31</v>
      </c>
      <c r="H41" s="12">
        <v>42</v>
      </c>
      <c r="I41" s="46">
        <f t="shared" si="1"/>
        <v>45.81818181818182</v>
      </c>
      <c r="J41" s="76">
        <f t="shared" si="0"/>
        <v>1.1000000000000001</v>
      </c>
      <c r="K41" s="77">
        <v>0.1</v>
      </c>
      <c r="L41" s="46">
        <v>60</v>
      </c>
      <c r="M41" s="139" t="s">
        <v>31</v>
      </c>
    </row>
    <row r="42" spans="1:13" ht="118.5" customHeight="1" x14ac:dyDescent="0.2">
      <c r="A42" s="43">
        <v>37</v>
      </c>
      <c r="B42" s="48">
        <v>12270</v>
      </c>
      <c r="C42" s="44">
        <v>269878</v>
      </c>
      <c r="D42" s="99" t="s">
        <v>87</v>
      </c>
      <c r="E42" s="47" t="s">
        <v>51</v>
      </c>
      <c r="F42" s="131">
        <v>100</v>
      </c>
      <c r="G42" s="33" t="s">
        <v>31</v>
      </c>
      <c r="H42" s="12">
        <v>52</v>
      </c>
      <c r="I42" s="46">
        <f t="shared" si="1"/>
        <v>56.727272727272734</v>
      </c>
      <c r="J42" s="76">
        <f t="shared" si="0"/>
        <v>1.1000000000000001</v>
      </c>
      <c r="K42" s="77">
        <v>0.1</v>
      </c>
      <c r="L42" s="46">
        <v>90</v>
      </c>
      <c r="M42" s="139" t="s">
        <v>31</v>
      </c>
    </row>
    <row r="43" spans="1:13" ht="187.5" customHeight="1" x14ac:dyDescent="0.2">
      <c r="A43" s="43">
        <v>38</v>
      </c>
      <c r="B43" s="48">
        <v>12271</v>
      </c>
      <c r="C43" s="44" t="s">
        <v>31</v>
      </c>
      <c r="D43" s="97" t="s">
        <v>88</v>
      </c>
      <c r="E43" s="47" t="s">
        <v>45</v>
      </c>
      <c r="F43" s="131">
        <v>150</v>
      </c>
      <c r="G43" s="33" t="s">
        <v>31</v>
      </c>
      <c r="H43" s="12">
        <v>32</v>
      </c>
      <c r="I43" s="46">
        <f t="shared" si="1"/>
        <v>34.909090909090907</v>
      </c>
      <c r="J43" s="76">
        <f t="shared" si="0"/>
        <v>1.1000000000000001</v>
      </c>
      <c r="K43" s="77">
        <v>0.1</v>
      </c>
      <c r="L43" s="122">
        <v>100</v>
      </c>
      <c r="M43" s="139" t="s">
        <v>31</v>
      </c>
    </row>
    <row r="44" spans="1:13" ht="175.5" customHeight="1" x14ac:dyDescent="0.2">
      <c r="A44" s="43">
        <v>39</v>
      </c>
      <c r="B44" s="48">
        <v>12272</v>
      </c>
      <c r="C44" s="48">
        <v>437175</v>
      </c>
      <c r="D44" s="99" t="s">
        <v>89</v>
      </c>
      <c r="E44" s="47" t="s">
        <v>45</v>
      </c>
      <c r="F44" s="132">
        <v>2792</v>
      </c>
      <c r="G44" s="33" t="s">
        <v>31</v>
      </c>
      <c r="H44" s="12">
        <v>925</v>
      </c>
      <c r="I44" s="46">
        <f t="shared" si="1"/>
        <v>1009.0909090909091</v>
      </c>
      <c r="J44" s="76">
        <f t="shared" si="0"/>
        <v>1.1000000000000001</v>
      </c>
      <c r="K44" s="77">
        <v>0.1</v>
      </c>
      <c r="L44" s="46">
        <v>1200</v>
      </c>
      <c r="M44" s="139" t="s">
        <v>31</v>
      </c>
    </row>
    <row r="45" spans="1:13" ht="200.25" customHeight="1" x14ac:dyDescent="0.2">
      <c r="A45" s="43">
        <v>40</v>
      </c>
      <c r="B45" s="48">
        <v>12273</v>
      </c>
      <c r="C45" s="48">
        <v>437176</v>
      </c>
      <c r="D45" s="99" t="s">
        <v>90</v>
      </c>
      <c r="E45" s="47" t="s">
        <v>45</v>
      </c>
      <c r="F45" s="132">
        <v>3500</v>
      </c>
      <c r="G45" s="33" t="s">
        <v>31</v>
      </c>
      <c r="H45" s="12">
        <v>210</v>
      </c>
      <c r="I45" s="46">
        <f t="shared" si="1"/>
        <v>229.09090909090907</v>
      </c>
      <c r="J45" s="76">
        <f t="shared" si="0"/>
        <v>1.1000000000000001</v>
      </c>
      <c r="K45" s="77">
        <v>0.1</v>
      </c>
      <c r="L45" s="46">
        <f t="shared" si="2"/>
        <v>252</v>
      </c>
      <c r="M45" s="139" t="s">
        <v>31</v>
      </c>
    </row>
    <row r="46" spans="1:13" ht="185.25" customHeight="1" x14ac:dyDescent="0.2">
      <c r="A46" s="43">
        <v>41</v>
      </c>
      <c r="B46" s="48">
        <v>12274</v>
      </c>
      <c r="C46" s="48">
        <v>437177</v>
      </c>
      <c r="D46" s="99" t="s">
        <v>91</v>
      </c>
      <c r="E46" s="47" t="s">
        <v>45</v>
      </c>
      <c r="F46" s="132">
        <v>4000</v>
      </c>
      <c r="G46" s="33" t="s">
        <v>31</v>
      </c>
      <c r="H46" s="12">
        <v>2035</v>
      </c>
      <c r="I46" s="46">
        <f t="shared" si="1"/>
        <v>2220</v>
      </c>
      <c r="J46" s="76">
        <f t="shared" si="0"/>
        <v>1.1000000000000001</v>
      </c>
      <c r="K46" s="77">
        <v>0.1</v>
      </c>
      <c r="L46" s="46">
        <v>2400</v>
      </c>
      <c r="M46" s="139" t="s">
        <v>31</v>
      </c>
    </row>
    <row r="47" spans="1:13" ht="188.25" customHeight="1" x14ac:dyDescent="0.2">
      <c r="A47" s="43">
        <v>42</v>
      </c>
      <c r="B47" s="48">
        <v>12275</v>
      </c>
      <c r="C47" s="48">
        <v>437178</v>
      </c>
      <c r="D47" s="99" t="s">
        <v>92</v>
      </c>
      <c r="E47" s="47" t="s">
        <v>45</v>
      </c>
      <c r="F47" s="132">
        <v>8580</v>
      </c>
      <c r="G47" s="33" t="s">
        <v>31</v>
      </c>
      <c r="H47" s="12">
        <v>12004</v>
      </c>
      <c r="I47" s="46">
        <f t="shared" si="1"/>
        <v>13095.272727272728</v>
      </c>
      <c r="J47" s="76">
        <f t="shared" si="0"/>
        <v>1.1000000000000001</v>
      </c>
      <c r="K47" s="77">
        <v>0.1</v>
      </c>
      <c r="L47" s="46">
        <v>14400</v>
      </c>
      <c r="M47" s="139" t="s">
        <v>31</v>
      </c>
    </row>
    <row r="48" spans="1:13" ht="177.75" customHeight="1" x14ac:dyDescent="0.2">
      <c r="A48" s="43">
        <v>43</v>
      </c>
      <c r="B48" s="48">
        <v>12276</v>
      </c>
      <c r="C48" s="48">
        <v>437179</v>
      </c>
      <c r="D48" s="99" t="s">
        <v>93</v>
      </c>
      <c r="E48" s="47" t="s">
        <v>45</v>
      </c>
      <c r="F48" s="132">
        <v>9000</v>
      </c>
      <c r="G48" s="33" t="s">
        <v>31</v>
      </c>
      <c r="H48" s="12">
        <v>10875</v>
      </c>
      <c r="I48" s="46">
        <f t="shared" si="1"/>
        <v>11863.636363636364</v>
      </c>
      <c r="J48" s="76">
        <f t="shared" si="0"/>
        <v>1.1000000000000001</v>
      </c>
      <c r="K48" s="77">
        <v>0.1</v>
      </c>
      <c r="L48" s="46">
        <v>14500</v>
      </c>
      <c r="M48" s="139" t="s">
        <v>31</v>
      </c>
    </row>
    <row r="49" spans="1:13" ht="172.5" customHeight="1" x14ac:dyDescent="0.2">
      <c r="A49" s="43">
        <v>44</v>
      </c>
      <c r="B49" s="48">
        <v>12277</v>
      </c>
      <c r="C49" s="48">
        <v>437180</v>
      </c>
      <c r="D49" s="99" t="s">
        <v>94</v>
      </c>
      <c r="E49" s="47" t="s">
        <v>45</v>
      </c>
      <c r="F49" s="132">
        <v>9000</v>
      </c>
      <c r="G49" s="33" t="s">
        <v>31</v>
      </c>
      <c r="H49" s="12">
        <v>12210</v>
      </c>
      <c r="I49" s="46">
        <f t="shared" si="1"/>
        <v>13320</v>
      </c>
      <c r="J49" s="76">
        <f t="shared" si="0"/>
        <v>1.1000000000000001</v>
      </c>
      <c r="K49" s="77">
        <v>0.1</v>
      </c>
      <c r="L49" s="46">
        <v>14600</v>
      </c>
      <c r="M49" s="139" t="s">
        <v>31</v>
      </c>
    </row>
    <row r="50" spans="1:13" ht="118.5" customHeight="1" x14ac:dyDescent="0.2">
      <c r="A50" s="43">
        <v>45</v>
      </c>
      <c r="B50" s="48">
        <v>12278</v>
      </c>
      <c r="C50" s="48">
        <v>464912</v>
      </c>
      <c r="D50" s="99" t="s">
        <v>95</v>
      </c>
      <c r="E50" s="47" t="s">
        <v>44</v>
      </c>
      <c r="F50" s="132">
        <v>17</v>
      </c>
      <c r="G50" s="33" t="s">
        <v>31</v>
      </c>
      <c r="H50" s="12">
        <v>0</v>
      </c>
      <c r="I50" s="46">
        <f t="shared" si="1"/>
        <v>0</v>
      </c>
      <c r="J50" s="76">
        <f t="shared" si="0"/>
        <v>1.1000000000000001</v>
      </c>
      <c r="K50" s="77">
        <v>0.1</v>
      </c>
      <c r="L50" s="122">
        <v>17</v>
      </c>
      <c r="M50" s="139" t="s">
        <v>31</v>
      </c>
    </row>
    <row r="51" spans="1:13" ht="118.5" customHeight="1" x14ac:dyDescent="0.2">
      <c r="A51" s="43">
        <v>46</v>
      </c>
      <c r="B51" s="48">
        <v>12279</v>
      </c>
      <c r="C51" s="48">
        <v>464915</v>
      </c>
      <c r="D51" s="99" t="s">
        <v>96</v>
      </c>
      <c r="E51" s="47" t="s">
        <v>44</v>
      </c>
      <c r="F51" s="132">
        <v>16.5</v>
      </c>
      <c r="G51" s="33" t="s">
        <v>31</v>
      </c>
      <c r="H51" s="12">
        <v>0</v>
      </c>
      <c r="I51" s="46">
        <f t="shared" si="1"/>
        <v>0</v>
      </c>
      <c r="J51" s="76">
        <f t="shared" si="0"/>
        <v>1.1000000000000001</v>
      </c>
      <c r="K51" s="77">
        <v>0.1</v>
      </c>
      <c r="L51" s="122">
        <v>17</v>
      </c>
      <c r="M51" s="139" t="s">
        <v>31</v>
      </c>
    </row>
    <row r="52" spans="1:13" ht="118.5" customHeight="1" x14ac:dyDescent="0.2">
      <c r="A52" s="43">
        <v>47</v>
      </c>
      <c r="B52" s="48">
        <v>12280</v>
      </c>
      <c r="C52" s="48" t="s">
        <v>31</v>
      </c>
      <c r="D52" s="99" t="s">
        <v>97</v>
      </c>
      <c r="E52" s="47" t="s">
        <v>44</v>
      </c>
      <c r="F52" s="132">
        <v>16.5</v>
      </c>
      <c r="G52" s="33" t="s">
        <v>31</v>
      </c>
      <c r="H52" s="12">
        <v>0</v>
      </c>
      <c r="I52" s="46">
        <f t="shared" si="1"/>
        <v>0</v>
      </c>
      <c r="J52" s="76">
        <f t="shared" si="0"/>
        <v>1.1000000000000001</v>
      </c>
      <c r="K52" s="77">
        <v>0.1</v>
      </c>
      <c r="L52" s="122">
        <v>17</v>
      </c>
      <c r="M52" s="139" t="s">
        <v>31</v>
      </c>
    </row>
    <row r="53" spans="1:13" ht="171.75" customHeight="1" x14ac:dyDescent="0.2">
      <c r="A53" s="43">
        <v>48</v>
      </c>
      <c r="B53" s="48">
        <v>12281</v>
      </c>
      <c r="C53" s="48">
        <v>481349</v>
      </c>
      <c r="D53" s="99" t="s">
        <v>98</v>
      </c>
      <c r="E53" s="45" t="s">
        <v>48</v>
      </c>
      <c r="F53" s="132">
        <v>187316</v>
      </c>
      <c r="G53" s="33" t="s">
        <v>31</v>
      </c>
      <c r="H53" s="12">
        <v>179336</v>
      </c>
      <c r="I53" s="46">
        <f t="shared" si="1"/>
        <v>195639.27272727274</v>
      </c>
      <c r="J53" s="76">
        <f t="shared" si="0"/>
        <v>1.1000000000000001</v>
      </c>
      <c r="K53" s="77">
        <v>0.1</v>
      </c>
      <c r="L53" s="46">
        <v>215200</v>
      </c>
      <c r="M53" s="139" t="s">
        <v>31</v>
      </c>
    </row>
    <row r="54" spans="1:13" ht="136.5" customHeight="1" x14ac:dyDescent="0.2">
      <c r="A54" s="43">
        <v>49</v>
      </c>
      <c r="B54" s="48">
        <v>12282</v>
      </c>
      <c r="C54" s="48" t="s">
        <v>31</v>
      </c>
      <c r="D54" s="99" t="s">
        <v>99</v>
      </c>
      <c r="E54" s="45" t="s">
        <v>45</v>
      </c>
      <c r="F54" s="132">
        <v>1320</v>
      </c>
      <c r="G54" s="33" t="s">
        <v>31</v>
      </c>
      <c r="H54" s="12">
        <v>1064</v>
      </c>
      <c r="I54" s="46">
        <f t="shared" si="1"/>
        <v>1160.7272727272727</v>
      </c>
      <c r="J54" s="76">
        <f t="shared" si="0"/>
        <v>1.1000000000000001</v>
      </c>
      <c r="K54" s="77">
        <v>0.1</v>
      </c>
      <c r="L54" s="46">
        <v>1300</v>
      </c>
      <c r="M54" s="139" t="s">
        <v>31</v>
      </c>
    </row>
    <row r="55" spans="1:13" ht="118.5" customHeight="1" x14ac:dyDescent="0.2">
      <c r="A55" s="43">
        <v>50</v>
      </c>
      <c r="B55" s="48">
        <v>12283</v>
      </c>
      <c r="C55" s="48">
        <v>454910</v>
      </c>
      <c r="D55" s="99" t="s">
        <v>100</v>
      </c>
      <c r="E55" s="45" t="s">
        <v>45</v>
      </c>
      <c r="F55" s="132">
        <v>1896</v>
      </c>
      <c r="G55" s="33" t="s">
        <v>31</v>
      </c>
      <c r="H55" s="12">
        <v>869</v>
      </c>
      <c r="I55" s="46">
        <f t="shared" si="1"/>
        <v>948</v>
      </c>
      <c r="J55" s="76">
        <f t="shared" si="0"/>
        <v>1.1000000000000001</v>
      </c>
      <c r="K55" s="77">
        <v>0.1</v>
      </c>
      <c r="L55" s="46">
        <v>1200</v>
      </c>
      <c r="M55" s="139" t="s">
        <v>31</v>
      </c>
    </row>
    <row r="56" spans="1:13" ht="118.5" customHeight="1" x14ac:dyDescent="0.2">
      <c r="A56" s="43">
        <v>51</v>
      </c>
      <c r="B56" s="48">
        <v>12284</v>
      </c>
      <c r="C56" s="48" t="s">
        <v>31</v>
      </c>
      <c r="D56" s="99" t="s">
        <v>101</v>
      </c>
      <c r="E56" s="45" t="s">
        <v>45</v>
      </c>
      <c r="F56" s="132">
        <v>1500</v>
      </c>
      <c r="G56" s="33" t="s">
        <v>31</v>
      </c>
      <c r="H56" s="12">
        <v>783</v>
      </c>
      <c r="I56" s="46">
        <f t="shared" si="1"/>
        <v>854.18181818181824</v>
      </c>
      <c r="J56" s="76">
        <f t="shared" si="0"/>
        <v>1.1000000000000001</v>
      </c>
      <c r="K56" s="77">
        <v>0.1</v>
      </c>
      <c r="L56" s="46">
        <v>900</v>
      </c>
      <c r="M56" s="139" t="s">
        <v>31</v>
      </c>
    </row>
    <row r="57" spans="1:13" ht="118.5" customHeight="1" x14ac:dyDescent="0.2">
      <c r="A57" s="43">
        <v>52</v>
      </c>
      <c r="B57" s="48">
        <v>12285</v>
      </c>
      <c r="C57" s="48">
        <v>450962</v>
      </c>
      <c r="D57" s="99" t="s">
        <v>102</v>
      </c>
      <c r="E57" s="45" t="s">
        <v>45</v>
      </c>
      <c r="F57" s="132">
        <v>6</v>
      </c>
      <c r="G57" s="33" t="s">
        <v>31</v>
      </c>
      <c r="H57" s="12">
        <v>0</v>
      </c>
      <c r="I57" s="46">
        <f t="shared" si="1"/>
        <v>0</v>
      </c>
      <c r="J57" s="76">
        <f t="shared" si="0"/>
        <v>1.1000000000000001</v>
      </c>
      <c r="K57" s="77">
        <v>0.1</v>
      </c>
      <c r="L57" s="122">
        <v>10</v>
      </c>
      <c r="M57" s="139" t="s">
        <v>31</v>
      </c>
    </row>
    <row r="58" spans="1:13" ht="118.5" customHeight="1" x14ac:dyDescent="0.2">
      <c r="A58" s="43">
        <v>53</v>
      </c>
      <c r="B58" s="48">
        <v>12286</v>
      </c>
      <c r="C58" s="44">
        <v>422819</v>
      </c>
      <c r="D58" s="97" t="s">
        <v>103</v>
      </c>
      <c r="E58" s="45" t="s">
        <v>45</v>
      </c>
      <c r="F58" s="132">
        <v>6</v>
      </c>
      <c r="G58" s="33" t="s">
        <v>31</v>
      </c>
      <c r="H58" s="12">
        <v>0</v>
      </c>
      <c r="I58" s="46">
        <f t="shared" si="1"/>
        <v>0</v>
      </c>
      <c r="J58" s="76">
        <f t="shared" si="0"/>
        <v>1.1000000000000001</v>
      </c>
      <c r="K58" s="77">
        <v>0.1</v>
      </c>
      <c r="L58" s="122">
        <v>10</v>
      </c>
      <c r="M58" s="139" t="s">
        <v>31</v>
      </c>
    </row>
    <row r="59" spans="1:13" ht="118.5" customHeight="1" x14ac:dyDescent="0.2">
      <c r="A59" s="43">
        <v>54</v>
      </c>
      <c r="B59" s="48">
        <v>12287</v>
      </c>
      <c r="C59" s="44">
        <v>427150</v>
      </c>
      <c r="D59" s="97" t="s">
        <v>104</v>
      </c>
      <c r="E59" s="45" t="s">
        <v>45</v>
      </c>
      <c r="F59" s="132">
        <v>6</v>
      </c>
      <c r="G59" s="33" t="s">
        <v>31</v>
      </c>
      <c r="H59" s="12">
        <v>0</v>
      </c>
      <c r="I59" s="46">
        <f t="shared" si="1"/>
        <v>0</v>
      </c>
      <c r="J59" s="76">
        <f t="shared" si="0"/>
        <v>1.1000000000000001</v>
      </c>
      <c r="K59" s="77">
        <v>0.1</v>
      </c>
      <c r="L59" s="122">
        <v>10</v>
      </c>
      <c r="M59" s="139" t="s">
        <v>31</v>
      </c>
    </row>
    <row r="60" spans="1:13" ht="118.5" customHeight="1" x14ac:dyDescent="0.2">
      <c r="A60" s="43">
        <v>55</v>
      </c>
      <c r="B60" s="48">
        <v>12288</v>
      </c>
      <c r="C60" s="44">
        <v>422817</v>
      </c>
      <c r="D60" s="97" t="s">
        <v>105</v>
      </c>
      <c r="E60" s="45" t="s">
        <v>45</v>
      </c>
      <c r="F60" s="132">
        <v>6</v>
      </c>
      <c r="G60" s="33" t="s">
        <v>31</v>
      </c>
      <c r="H60" s="12">
        <v>0</v>
      </c>
      <c r="I60" s="46">
        <f t="shared" si="1"/>
        <v>0</v>
      </c>
      <c r="J60" s="76">
        <f t="shared" si="0"/>
        <v>1.1000000000000001</v>
      </c>
      <c r="K60" s="77">
        <v>0.1</v>
      </c>
      <c r="L60" s="122">
        <v>10</v>
      </c>
      <c r="M60" s="139" t="s">
        <v>31</v>
      </c>
    </row>
    <row r="61" spans="1:13" ht="118.5" customHeight="1" x14ac:dyDescent="0.2">
      <c r="A61" s="43">
        <v>56</v>
      </c>
      <c r="B61" s="48">
        <v>12289</v>
      </c>
      <c r="C61" s="44">
        <v>422820</v>
      </c>
      <c r="D61" s="97" t="s">
        <v>106</v>
      </c>
      <c r="E61" s="45" t="s">
        <v>45</v>
      </c>
      <c r="F61" s="132">
        <v>6</v>
      </c>
      <c r="G61" s="33" t="s">
        <v>31</v>
      </c>
      <c r="H61" s="12">
        <v>0</v>
      </c>
      <c r="I61" s="46">
        <f t="shared" si="1"/>
        <v>0</v>
      </c>
      <c r="J61" s="76">
        <f t="shared" si="0"/>
        <v>1.1000000000000001</v>
      </c>
      <c r="K61" s="77">
        <v>0.1</v>
      </c>
      <c r="L61" s="122">
        <v>10</v>
      </c>
      <c r="M61" s="139" t="s">
        <v>31</v>
      </c>
    </row>
    <row r="62" spans="1:13" ht="118.5" customHeight="1" x14ac:dyDescent="0.2">
      <c r="A62" s="43">
        <v>57</v>
      </c>
      <c r="B62" s="48">
        <v>12296</v>
      </c>
      <c r="C62" s="44">
        <v>422818</v>
      </c>
      <c r="D62" s="97" t="s">
        <v>107</v>
      </c>
      <c r="E62" s="45" t="s">
        <v>45</v>
      </c>
      <c r="F62" s="132">
        <v>6</v>
      </c>
      <c r="G62" s="33" t="s">
        <v>31</v>
      </c>
      <c r="H62" s="12">
        <v>0</v>
      </c>
      <c r="I62" s="46">
        <f t="shared" si="1"/>
        <v>0</v>
      </c>
      <c r="J62" s="76">
        <f t="shared" si="0"/>
        <v>1.1000000000000001</v>
      </c>
      <c r="K62" s="77">
        <v>0.1</v>
      </c>
      <c r="L62" s="122">
        <v>10</v>
      </c>
      <c r="M62" s="139" t="s">
        <v>31</v>
      </c>
    </row>
    <row r="63" spans="1:13" ht="254.25" customHeight="1" x14ac:dyDescent="0.2">
      <c r="A63" s="43">
        <v>58</v>
      </c>
      <c r="B63" s="48">
        <v>12297</v>
      </c>
      <c r="C63" s="44">
        <v>419371</v>
      </c>
      <c r="D63" s="97" t="s">
        <v>108</v>
      </c>
      <c r="E63" s="45" t="s">
        <v>45</v>
      </c>
      <c r="F63" s="132">
        <v>2000</v>
      </c>
      <c r="G63" s="33" t="s">
        <v>31</v>
      </c>
      <c r="H63" s="12">
        <v>647</v>
      </c>
      <c r="I63" s="46">
        <f t="shared" si="1"/>
        <v>705.81818181818187</v>
      </c>
      <c r="J63" s="76">
        <f t="shared" si="0"/>
        <v>1.1000000000000001</v>
      </c>
      <c r="K63" s="77">
        <v>0.1</v>
      </c>
      <c r="L63" s="46">
        <v>775</v>
      </c>
      <c r="M63" s="139" t="s">
        <v>31</v>
      </c>
    </row>
    <row r="64" spans="1:13" ht="118.5" customHeight="1" x14ac:dyDescent="0.2">
      <c r="A64" s="43">
        <v>59</v>
      </c>
      <c r="B64" s="48">
        <v>12298</v>
      </c>
      <c r="C64" s="44">
        <v>447065</v>
      </c>
      <c r="D64" s="97" t="s">
        <v>109</v>
      </c>
      <c r="E64" s="45" t="s">
        <v>45</v>
      </c>
      <c r="F64" s="132">
        <v>600</v>
      </c>
      <c r="G64" s="33" t="s">
        <v>31</v>
      </c>
      <c r="H64" s="12">
        <v>10</v>
      </c>
      <c r="I64" s="46">
        <f t="shared" si="1"/>
        <v>10.909090909090908</v>
      </c>
      <c r="J64" s="76">
        <f t="shared" si="0"/>
        <v>1.1000000000000001</v>
      </c>
      <c r="K64" s="77">
        <v>0.1</v>
      </c>
      <c r="L64" s="122">
        <v>200</v>
      </c>
      <c r="M64" s="139" t="s">
        <v>31</v>
      </c>
    </row>
    <row r="65" spans="1:13" ht="118.5" customHeight="1" x14ac:dyDescent="0.2">
      <c r="A65" s="43">
        <v>60</v>
      </c>
      <c r="B65" s="48">
        <v>12300</v>
      </c>
      <c r="C65" s="44">
        <v>363484</v>
      </c>
      <c r="D65" s="97" t="s">
        <v>111</v>
      </c>
      <c r="E65" s="45" t="s">
        <v>45</v>
      </c>
      <c r="F65" s="132">
        <v>165</v>
      </c>
      <c r="G65" s="33" t="s">
        <v>31</v>
      </c>
      <c r="H65" s="12">
        <v>124</v>
      </c>
      <c r="I65" s="46">
        <f t="shared" si="1"/>
        <v>135.27272727272728</v>
      </c>
      <c r="J65" s="76">
        <f t="shared" si="0"/>
        <v>1.1000000000000001</v>
      </c>
      <c r="K65" s="77">
        <v>0.1</v>
      </c>
      <c r="L65" s="46">
        <v>160</v>
      </c>
      <c r="M65" s="139" t="s">
        <v>31</v>
      </c>
    </row>
    <row r="66" spans="1:13" ht="118.5" customHeight="1" x14ac:dyDescent="0.2">
      <c r="A66" s="43">
        <v>61</v>
      </c>
      <c r="B66" s="48">
        <v>12301</v>
      </c>
      <c r="C66" s="44">
        <v>363482</v>
      </c>
      <c r="D66" s="97" t="s">
        <v>112</v>
      </c>
      <c r="E66" s="45" t="s">
        <v>45</v>
      </c>
      <c r="F66" s="132">
        <v>165</v>
      </c>
      <c r="G66" s="33" t="s">
        <v>31</v>
      </c>
      <c r="H66" s="12">
        <v>102</v>
      </c>
      <c r="I66" s="46">
        <f t="shared" si="1"/>
        <v>111.27272727272728</v>
      </c>
      <c r="J66" s="76">
        <f>1+K66</f>
        <v>1.1000000000000001</v>
      </c>
      <c r="K66" s="77">
        <v>0.1</v>
      </c>
      <c r="L66" s="122">
        <v>300</v>
      </c>
      <c r="M66" s="139" t="s">
        <v>31</v>
      </c>
    </row>
    <row r="67" spans="1:13" ht="118.5" customHeight="1" x14ac:dyDescent="0.2">
      <c r="A67" s="43">
        <v>62</v>
      </c>
      <c r="B67" s="48">
        <v>12302</v>
      </c>
      <c r="C67" s="44">
        <v>363485</v>
      </c>
      <c r="D67" s="97" t="s">
        <v>113</v>
      </c>
      <c r="E67" s="45" t="s">
        <v>45</v>
      </c>
      <c r="F67" s="132">
        <v>858</v>
      </c>
      <c r="G67" s="33" t="s">
        <v>31</v>
      </c>
      <c r="H67" s="12">
        <v>639</v>
      </c>
      <c r="I67" s="46">
        <f t="shared" si="1"/>
        <v>697.09090909090912</v>
      </c>
      <c r="J67" s="76">
        <f>1+K67</f>
        <v>1.1000000000000001</v>
      </c>
      <c r="K67" s="77">
        <v>0.1</v>
      </c>
      <c r="L67" s="46">
        <v>1100</v>
      </c>
      <c r="M67" s="139" t="s">
        <v>31</v>
      </c>
    </row>
    <row r="68" spans="1:13" ht="118.5" customHeight="1" x14ac:dyDescent="0.2">
      <c r="A68" s="43">
        <v>63</v>
      </c>
      <c r="B68" s="48">
        <v>12304</v>
      </c>
      <c r="C68" s="44">
        <v>439214</v>
      </c>
      <c r="D68" s="97" t="s">
        <v>114</v>
      </c>
      <c r="E68" s="45" t="s">
        <v>45</v>
      </c>
      <c r="F68" s="132">
        <v>15</v>
      </c>
      <c r="G68" s="33" t="s">
        <v>31</v>
      </c>
      <c r="H68" s="12">
        <v>0</v>
      </c>
      <c r="I68" s="46">
        <f t="shared" si="1"/>
        <v>0</v>
      </c>
      <c r="J68" s="76">
        <f t="shared" si="0"/>
        <v>1.1000000000000001</v>
      </c>
      <c r="K68" s="77">
        <v>0.1</v>
      </c>
      <c r="L68" s="122">
        <v>15</v>
      </c>
      <c r="M68" s="139" t="s">
        <v>31</v>
      </c>
    </row>
    <row r="69" spans="1:13" ht="118.5" customHeight="1" x14ac:dyDescent="0.2">
      <c r="A69" s="43">
        <v>64</v>
      </c>
      <c r="B69" s="48">
        <v>12306</v>
      </c>
      <c r="C69" s="44">
        <v>432208</v>
      </c>
      <c r="D69" s="99" t="s">
        <v>115</v>
      </c>
      <c r="E69" s="45" t="s">
        <v>45</v>
      </c>
      <c r="F69" s="132">
        <v>50</v>
      </c>
      <c r="G69" s="33" t="s">
        <v>31</v>
      </c>
      <c r="H69" s="12">
        <v>0</v>
      </c>
      <c r="I69" s="46">
        <f t="shared" si="1"/>
        <v>0</v>
      </c>
      <c r="J69" s="76">
        <f t="shared" ref="J69:J104" si="3">1+K69</f>
        <v>1.1000000000000001</v>
      </c>
      <c r="K69" s="77">
        <v>0.1</v>
      </c>
      <c r="L69" s="46">
        <v>50</v>
      </c>
      <c r="M69" s="139" t="s">
        <v>31</v>
      </c>
    </row>
    <row r="70" spans="1:13" ht="118.5" customHeight="1" x14ac:dyDescent="0.2">
      <c r="A70" s="43">
        <v>65</v>
      </c>
      <c r="B70" s="48">
        <v>12307</v>
      </c>
      <c r="C70" s="44">
        <v>432182</v>
      </c>
      <c r="D70" s="101" t="s">
        <v>116</v>
      </c>
      <c r="E70" s="45" t="s">
        <v>45</v>
      </c>
      <c r="F70" s="132">
        <v>158</v>
      </c>
      <c r="G70" s="33" t="s">
        <v>31</v>
      </c>
      <c r="H70" s="12">
        <v>40</v>
      </c>
      <c r="I70" s="46">
        <f t="shared" si="1"/>
        <v>43.636363636363633</v>
      </c>
      <c r="J70" s="76">
        <f t="shared" si="3"/>
        <v>1.1000000000000001</v>
      </c>
      <c r="K70" s="77">
        <v>0.1</v>
      </c>
      <c r="L70" s="122">
        <v>150</v>
      </c>
      <c r="M70" s="139" t="s">
        <v>31</v>
      </c>
    </row>
    <row r="71" spans="1:13" ht="118.5" customHeight="1" x14ac:dyDescent="0.2">
      <c r="A71" s="43">
        <v>66</v>
      </c>
      <c r="B71" s="48">
        <v>12308</v>
      </c>
      <c r="C71" s="44">
        <v>382524</v>
      </c>
      <c r="D71" s="101" t="s">
        <v>117</v>
      </c>
      <c r="E71" s="45" t="s">
        <v>45</v>
      </c>
      <c r="F71" s="132">
        <v>200</v>
      </c>
      <c r="G71" s="33" t="s">
        <v>31</v>
      </c>
      <c r="H71" s="12">
        <v>5</v>
      </c>
      <c r="I71" s="46">
        <f t="shared" ref="I71:I134" si="4">(H71/11)*12</f>
        <v>5.4545454545454541</v>
      </c>
      <c r="J71" s="76">
        <f t="shared" si="3"/>
        <v>1.1000000000000001</v>
      </c>
      <c r="K71" s="77">
        <v>0.1</v>
      </c>
      <c r="L71" s="122">
        <v>200</v>
      </c>
      <c r="M71" s="139" t="s">
        <v>31</v>
      </c>
    </row>
    <row r="72" spans="1:13" ht="118.5" customHeight="1" x14ac:dyDescent="0.2">
      <c r="A72" s="43">
        <v>67</v>
      </c>
      <c r="B72" s="48">
        <v>12309</v>
      </c>
      <c r="C72" s="48">
        <v>385252</v>
      </c>
      <c r="D72" s="100" t="s">
        <v>118</v>
      </c>
      <c r="E72" s="45" t="s">
        <v>45</v>
      </c>
      <c r="F72" s="132">
        <v>250</v>
      </c>
      <c r="G72" s="33" t="s">
        <v>31</v>
      </c>
      <c r="H72" s="12">
        <v>57</v>
      </c>
      <c r="I72" s="46">
        <f t="shared" si="4"/>
        <v>62.18181818181818</v>
      </c>
      <c r="J72" s="76">
        <f t="shared" si="3"/>
        <v>1.1000000000000001</v>
      </c>
      <c r="K72" s="77">
        <v>0.1</v>
      </c>
      <c r="L72" s="122">
        <v>200</v>
      </c>
      <c r="M72" s="139" t="s">
        <v>31</v>
      </c>
    </row>
    <row r="73" spans="1:13" ht="118.5" customHeight="1" x14ac:dyDescent="0.2">
      <c r="A73" s="43">
        <v>68</v>
      </c>
      <c r="B73" s="48">
        <v>12310</v>
      </c>
      <c r="C73" s="44">
        <v>419399</v>
      </c>
      <c r="D73" s="99" t="s">
        <v>119</v>
      </c>
      <c r="E73" s="45" t="s">
        <v>45</v>
      </c>
      <c r="F73" s="132">
        <v>250</v>
      </c>
      <c r="G73" s="33" t="s">
        <v>31</v>
      </c>
      <c r="H73" s="12">
        <v>0</v>
      </c>
      <c r="I73" s="46">
        <f t="shared" si="4"/>
        <v>0</v>
      </c>
      <c r="J73" s="76">
        <f t="shared" si="3"/>
        <v>1.1000000000000001</v>
      </c>
      <c r="K73" s="77">
        <v>0.1</v>
      </c>
      <c r="L73" s="122">
        <v>250</v>
      </c>
      <c r="M73" s="139" t="s">
        <v>31</v>
      </c>
    </row>
    <row r="74" spans="1:13" ht="118.5" customHeight="1" x14ac:dyDescent="0.2">
      <c r="A74" s="43">
        <v>69</v>
      </c>
      <c r="B74" s="48">
        <v>12311</v>
      </c>
      <c r="C74" s="44">
        <v>427234</v>
      </c>
      <c r="D74" s="97" t="s">
        <v>120</v>
      </c>
      <c r="E74" s="45" t="s">
        <v>45</v>
      </c>
      <c r="F74" s="132">
        <v>1</v>
      </c>
      <c r="G74" s="33" t="s">
        <v>31</v>
      </c>
      <c r="H74" s="12">
        <v>0</v>
      </c>
      <c r="I74" s="46">
        <f t="shared" si="4"/>
        <v>0</v>
      </c>
      <c r="J74" s="76">
        <f t="shared" si="3"/>
        <v>1.1000000000000001</v>
      </c>
      <c r="K74" s="77">
        <v>0.1</v>
      </c>
      <c r="L74" s="122">
        <v>1</v>
      </c>
      <c r="M74" s="139" t="s">
        <v>31</v>
      </c>
    </row>
    <row r="75" spans="1:13" ht="118.5" customHeight="1" x14ac:dyDescent="0.2">
      <c r="A75" s="43">
        <v>70</v>
      </c>
      <c r="B75" s="48">
        <v>12312</v>
      </c>
      <c r="C75" s="44" t="s">
        <v>31</v>
      </c>
      <c r="D75" s="97" t="s">
        <v>121</v>
      </c>
      <c r="E75" s="45" t="s">
        <v>60</v>
      </c>
      <c r="F75" s="132">
        <v>100</v>
      </c>
      <c r="G75" s="33" t="s">
        <v>31</v>
      </c>
      <c r="H75" s="12">
        <v>0</v>
      </c>
      <c r="I75" s="46">
        <f t="shared" si="4"/>
        <v>0</v>
      </c>
      <c r="J75" s="76">
        <f t="shared" si="3"/>
        <v>1.1000000000000001</v>
      </c>
      <c r="K75" s="77">
        <v>0.1</v>
      </c>
      <c r="L75" s="122">
        <v>100</v>
      </c>
      <c r="M75" s="139" t="s">
        <v>31</v>
      </c>
    </row>
    <row r="76" spans="1:13" ht="118.5" customHeight="1" x14ac:dyDescent="0.2">
      <c r="A76" s="43">
        <v>71</v>
      </c>
      <c r="B76" s="48">
        <v>12313</v>
      </c>
      <c r="C76" s="44">
        <v>455910</v>
      </c>
      <c r="D76" s="97" t="s">
        <v>122</v>
      </c>
      <c r="E76" s="45" t="s">
        <v>45</v>
      </c>
      <c r="F76" s="132">
        <v>20</v>
      </c>
      <c r="G76" s="33" t="s">
        <v>31</v>
      </c>
      <c r="H76" s="12">
        <v>10</v>
      </c>
      <c r="I76" s="46">
        <f t="shared" si="4"/>
        <v>10.909090909090908</v>
      </c>
      <c r="J76" s="76">
        <f t="shared" si="3"/>
        <v>1.1000000000000001</v>
      </c>
      <c r="K76" s="77">
        <v>0.1</v>
      </c>
      <c r="L76" s="46">
        <f t="shared" ref="L76:L130" si="5">ROUND(I76*J76,)</f>
        <v>12</v>
      </c>
      <c r="M76" s="139" t="s">
        <v>31</v>
      </c>
    </row>
    <row r="77" spans="1:13" ht="118.5" customHeight="1" x14ac:dyDescent="0.2">
      <c r="A77" s="43">
        <v>72</v>
      </c>
      <c r="B77" s="48">
        <v>12314</v>
      </c>
      <c r="C77" s="44">
        <v>455909</v>
      </c>
      <c r="D77" s="97" t="s">
        <v>123</v>
      </c>
      <c r="E77" s="45" t="s">
        <v>45</v>
      </c>
      <c r="F77" s="132">
        <v>25</v>
      </c>
      <c r="G77" s="33" t="s">
        <v>31</v>
      </c>
      <c r="H77" s="12">
        <v>7</v>
      </c>
      <c r="I77" s="46">
        <f t="shared" si="4"/>
        <v>7.6363636363636367</v>
      </c>
      <c r="J77" s="76">
        <f t="shared" si="3"/>
        <v>1.1000000000000001</v>
      </c>
      <c r="K77" s="77">
        <v>0.1</v>
      </c>
      <c r="L77" s="46">
        <f t="shared" si="5"/>
        <v>8</v>
      </c>
      <c r="M77" s="139" t="s">
        <v>31</v>
      </c>
    </row>
    <row r="78" spans="1:13" ht="118.5" customHeight="1" x14ac:dyDescent="0.2">
      <c r="A78" s="43">
        <v>73</v>
      </c>
      <c r="B78" s="48">
        <v>12315</v>
      </c>
      <c r="C78" s="44">
        <v>455908</v>
      </c>
      <c r="D78" s="97" t="s">
        <v>124</v>
      </c>
      <c r="E78" s="45" t="s">
        <v>45</v>
      </c>
      <c r="F78" s="132">
        <v>25</v>
      </c>
      <c r="G78" s="33" t="s">
        <v>31</v>
      </c>
      <c r="H78" s="12">
        <v>7</v>
      </c>
      <c r="I78" s="46">
        <f t="shared" si="4"/>
        <v>7.6363636363636367</v>
      </c>
      <c r="J78" s="76">
        <f t="shared" si="3"/>
        <v>1.1000000000000001</v>
      </c>
      <c r="K78" s="77">
        <v>0.1</v>
      </c>
      <c r="L78" s="46">
        <f t="shared" si="5"/>
        <v>8</v>
      </c>
      <c r="M78" s="139" t="s">
        <v>31</v>
      </c>
    </row>
    <row r="79" spans="1:13" ht="118.5" customHeight="1" x14ac:dyDescent="0.2">
      <c r="A79" s="43">
        <v>74</v>
      </c>
      <c r="B79" s="48">
        <v>12570</v>
      </c>
      <c r="C79" s="44" t="s">
        <v>31</v>
      </c>
      <c r="D79" s="101" t="s">
        <v>320</v>
      </c>
      <c r="E79" s="45" t="s">
        <v>45</v>
      </c>
      <c r="F79" s="53">
        <v>400</v>
      </c>
      <c r="G79" s="33" t="s">
        <v>31</v>
      </c>
      <c r="H79" s="12">
        <v>90</v>
      </c>
      <c r="I79" s="46">
        <f t="shared" si="4"/>
        <v>98.181818181818187</v>
      </c>
      <c r="J79" s="76">
        <f t="shared" si="3"/>
        <v>1.1000000000000001</v>
      </c>
      <c r="K79" s="77">
        <v>0.1</v>
      </c>
      <c r="L79" s="122">
        <v>400</v>
      </c>
      <c r="M79" s="139" t="s">
        <v>31</v>
      </c>
    </row>
    <row r="80" spans="1:13" ht="159" customHeight="1" x14ac:dyDescent="0.2">
      <c r="A80" s="43">
        <v>75</v>
      </c>
      <c r="B80" s="48">
        <v>12317</v>
      </c>
      <c r="C80" s="44">
        <v>438473</v>
      </c>
      <c r="D80" s="98" t="s">
        <v>932</v>
      </c>
      <c r="E80" s="47" t="s">
        <v>45</v>
      </c>
      <c r="F80" s="132">
        <v>10</v>
      </c>
      <c r="G80" s="33" t="s">
        <v>31</v>
      </c>
      <c r="H80" s="12">
        <v>5</v>
      </c>
      <c r="I80" s="46">
        <f t="shared" si="4"/>
        <v>5.4545454545454541</v>
      </c>
      <c r="J80" s="76">
        <f t="shared" si="3"/>
        <v>1.1000000000000001</v>
      </c>
      <c r="K80" s="77">
        <v>0.1</v>
      </c>
      <c r="L80" s="122">
        <v>10</v>
      </c>
      <c r="M80" s="139" t="s">
        <v>31</v>
      </c>
    </row>
    <row r="81" spans="1:13" ht="168.75" customHeight="1" x14ac:dyDescent="0.2">
      <c r="A81" s="43">
        <v>76</v>
      </c>
      <c r="B81" s="48">
        <v>12318</v>
      </c>
      <c r="C81" s="44">
        <v>438461</v>
      </c>
      <c r="D81" s="98" t="s">
        <v>933</v>
      </c>
      <c r="E81" s="47" t="s">
        <v>45</v>
      </c>
      <c r="F81" s="132">
        <v>12</v>
      </c>
      <c r="G81" s="33" t="s">
        <v>31</v>
      </c>
      <c r="H81" s="12">
        <v>0</v>
      </c>
      <c r="I81" s="46">
        <f t="shared" si="4"/>
        <v>0</v>
      </c>
      <c r="J81" s="76">
        <f t="shared" si="3"/>
        <v>1.1000000000000001</v>
      </c>
      <c r="K81" s="77">
        <v>0.1</v>
      </c>
      <c r="L81" s="122">
        <v>10</v>
      </c>
      <c r="M81" s="139" t="s">
        <v>31</v>
      </c>
    </row>
    <row r="82" spans="1:13" ht="144" customHeight="1" x14ac:dyDescent="0.2">
      <c r="A82" s="43">
        <v>77</v>
      </c>
      <c r="B82" s="48">
        <v>12319</v>
      </c>
      <c r="C82" s="44">
        <v>438463</v>
      </c>
      <c r="D82" s="99" t="s">
        <v>934</v>
      </c>
      <c r="E82" s="47" t="s">
        <v>45</v>
      </c>
      <c r="F82" s="132">
        <v>10</v>
      </c>
      <c r="G82" s="33" t="s">
        <v>31</v>
      </c>
      <c r="H82" s="12">
        <v>0</v>
      </c>
      <c r="I82" s="46">
        <f t="shared" si="4"/>
        <v>0</v>
      </c>
      <c r="J82" s="76">
        <f t="shared" si="3"/>
        <v>1.1000000000000001</v>
      </c>
      <c r="K82" s="77">
        <v>0.1</v>
      </c>
      <c r="L82" s="122">
        <v>10</v>
      </c>
      <c r="M82" s="139" t="s">
        <v>31</v>
      </c>
    </row>
    <row r="83" spans="1:13" ht="148.5" customHeight="1" x14ac:dyDescent="0.2">
      <c r="A83" s="43">
        <v>78</v>
      </c>
      <c r="B83" s="48">
        <v>12320</v>
      </c>
      <c r="C83" s="44">
        <v>438475</v>
      </c>
      <c r="D83" s="99" t="s">
        <v>935</v>
      </c>
      <c r="E83" s="47" t="s">
        <v>45</v>
      </c>
      <c r="F83" s="132">
        <v>10</v>
      </c>
      <c r="G83" s="33" t="s">
        <v>31</v>
      </c>
      <c r="H83" s="12">
        <v>0</v>
      </c>
      <c r="I83" s="46">
        <f t="shared" si="4"/>
        <v>0</v>
      </c>
      <c r="J83" s="76">
        <f t="shared" si="3"/>
        <v>1.1000000000000001</v>
      </c>
      <c r="K83" s="77">
        <v>0.1</v>
      </c>
      <c r="L83" s="122">
        <v>10</v>
      </c>
      <c r="M83" s="139" t="s">
        <v>31</v>
      </c>
    </row>
    <row r="84" spans="1:13" ht="150" customHeight="1" x14ac:dyDescent="0.2">
      <c r="A84" s="43">
        <v>79</v>
      </c>
      <c r="B84" s="48">
        <v>12321</v>
      </c>
      <c r="C84" s="44">
        <v>438466</v>
      </c>
      <c r="D84" s="99" t="s">
        <v>936</v>
      </c>
      <c r="E84" s="47" t="s">
        <v>45</v>
      </c>
      <c r="F84" s="132">
        <v>10</v>
      </c>
      <c r="G84" s="33" t="s">
        <v>31</v>
      </c>
      <c r="H84" s="12">
        <v>0</v>
      </c>
      <c r="I84" s="46">
        <f t="shared" si="4"/>
        <v>0</v>
      </c>
      <c r="J84" s="76">
        <f t="shared" si="3"/>
        <v>1.1000000000000001</v>
      </c>
      <c r="K84" s="77">
        <v>0.1</v>
      </c>
      <c r="L84" s="122">
        <v>10</v>
      </c>
      <c r="M84" s="139" t="s">
        <v>31</v>
      </c>
    </row>
    <row r="85" spans="1:13" ht="153" customHeight="1" x14ac:dyDescent="0.2">
      <c r="A85" s="43">
        <v>80</v>
      </c>
      <c r="B85" s="48">
        <v>12322</v>
      </c>
      <c r="C85" s="44">
        <v>438471</v>
      </c>
      <c r="D85" s="99" t="s">
        <v>937</v>
      </c>
      <c r="E85" s="47" t="s">
        <v>45</v>
      </c>
      <c r="F85" s="132">
        <v>10</v>
      </c>
      <c r="G85" s="33" t="s">
        <v>31</v>
      </c>
      <c r="H85" s="12">
        <v>0</v>
      </c>
      <c r="I85" s="46">
        <f t="shared" si="4"/>
        <v>0</v>
      </c>
      <c r="J85" s="76">
        <f t="shared" si="3"/>
        <v>1.1000000000000001</v>
      </c>
      <c r="K85" s="77">
        <v>0.1</v>
      </c>
      <c r="L85" s="122">
        <v>10</v>
      </c>
      <c r="M85" s="139" t="s">
        <v>31</v>
      </c>
    </row>
    <row r="86" spans="1:13" ht="139.5" customHeight="1" x14ac:dyDescent="0.2">
      <c r="A86" s="43">
        <v>81</v>
      </c>
      <c r="B86" s="48">
        <v>12323</v>
      </c>
      <c r="C86" s="44">
        <v>438478</v>
      </c>
      <c r="D86" s="99" t="s">
        <v>938</v>
      </c>
      <c r="E86" s="47" t="s">
        <v>45</v>
      </c>
      <c r="F86" s="132">
        <v>10</v>
      </c>
      <c r="G86" s="33" t="s">
        <v>31</v>
      </c>
      <c r="H86" s="12">
        <v>0</v>
      </c>
      <c r="I86" s="46">
        <f t="shared" si="4"/>
        <v>0</v>
      </c>
      <c r="J86" s="76">
        <f t="shared" si="3"/>
        <v>1.1000000000000001</v>
      </c>
      <c r="K86" s="77">
        <v>0.1</v>
      </c>
      <c r="L86" s="122">
        <v>10</v>
      </c>
      <c r="M86" s="139" t="s">
        <v>31</v>
      </c>
    </row>
    <row r="87" spans="1:13" ht="118.5" customHeight="1" x14ac:dyDescent="0.2">
      <c r="A87" s="43">
        <v>82</v>
      </c>
      <c r="B87" s="48">
        <v>12324</v>
      </c>
      <c r="C87" s="48">
        <v>438472</v>
      </c>
      <c r="D87" s="99" t="s">
        <v>939</v>
      </c>
      <c r="E87" s="47" t="s">
        <v>45</v>
      </c>
      <c r="F87" s="132">
        <v>10</v>
      </c>
      <c r="G87" s="33" t="s">
        <v>31</v>
      </c>
      <c r="H87" s="12">
        <v>0</v>
      </c>
      <c r="I87" s="46">
        <f t="shared" si="4"/>
        <v>0</v>
      </c>
      <c r="J87" s="76">
        <f t="shared" si="3"/>
        <v>1.1000000000000001</v>
      </c>
      <c r="K87" s="77">
        <v>0.1</v>
      </c>
      <c r="L87" s="122">
        <v>10</v>
      </c>
      <c r="M87" s="139" t="s">
        <v>31</v>
      </c>
    </row>
    <row r="88" spans="1:13" ht="149.25" customHeight="1" x14ac:dyDescent="0.2">
      <c r="A88" s="43">
        <v>83</v>
      </c>
      <c r="B88" s="48">
        <v>12325</v>
      </c>
      <c r="C88" s="48">
        <v>438468</v>
      </c>
      <c r="D88" s="99" t="s">
        <v>929</v>
      </c>
      <c r="E88" s="47" t="s">
        <v>45</v>
      </c>
      <c r="F88" s="132">
        <v>10</v>
      </c>
      <c r="G88" s="33" t="s">
        <v>31</v>
      </c>
      <c r="H88" s="12">
        <v>0</v>
      </c>
      <c r="I88" s="46">
        <f t="shared" si="4"/>
        <v>0</v>
      </c>
      <c r="J88" s="76">
        <f t="shared" si="3"/>
        <v>1.1000000000000001</v>
      </c>
      <c r="K88" s="77">
        <v>0.1</v>
      </c>
      <c r="L88" s="122">
        <v>10</v>
      </c>
      <c r="M88" s="139" t="s">
        <v>31</v>
      </c>
    </row>
    <row r="89" spans="1:13" ht="153" customHeight="1" x14ac:dyDescent="0.2">
      <c r="A89" s="43">
        <v>84</v>
      </c>
      <c r="B89" s="48">
        <v>12326</v>
      </c>
      <c r="C89" s="48">
        <v>438469</v>
      </c>
      <c r="D89" s="99" t="s">
        <v>930</v>
      </c>
      <c r="E89" s="47" t="s">
        <v>45</v>
      </c>
      <c r="F89" s="132">
        <v>25</v>
      </c>
      <c r="G89" s="33" t="s">
        <v>31</v>
      </c>
      <c r="H89" s="12">
        <v>0</v>
      </c>
      <c r="I89" s="46">
        <f t="shared" si="4"/>
        <v>0</v>
      </c>
      <c r="J89" s="76">
        <f t="shared" si="3"/>
        <v>1.1000000000000001</v>
      </c>
      <c r="K89" s="77">
        <v>0.1</v>
      </c>
      <c r="L89" s="122">
        <v>10</v>
      </c>
      <c r="M89" s="139" t="s">
        <v>31</v>
      </c>
    </row>
    <row r="90" spans="1:13" ht="165" customHeight="1" x14ac:dyDescent="0.2">
      <c r="A90" s="43">
        <v>85</v>
      </c>
      <c r="B90" s="48">
        <v>12328</v>
      </c>
      <c r="C90" s="48">
        <v>438476</v>
      </c>
      <c r="D90" s="99" t="s">
        <v>931</v>
      </c>
      <c r="E90" s="47" t="s">
        <v>45</v>
      </c>
      <c r="F90" s="132">
        <v>25</v>
      </c>
      <c r="G90" s="33" t="s">
        <v>31</v>
      </c>
      <c r="H90" s="12">
        <v>0</v>
      </c>
      <c r="I90" s="46">
        <f t="shared" si="4"/>
        <v>0</v>
      </c>
      <c r="J90" s="76">
        <f t="shared" si="3"/>
        <v>1.1000000000000001</v>
      </c>
      <c r="K90" s="77">
        <v>0.1</v>
      </c>
      <c r="L90" s="122">
        <v>10</v>
      </c>
      <c r="M90" s="139" t="s">
        <v>31</v>
      </c>
    </row>
    <row r="91" spans="1:13" ht="118.5" customHeight="1" x14ac:dyDescent="0.2">
      <c r="A91" s="43">
        <v>86</v>
      </c>
      <c r="B91" s="48">
        <v>12329</v>
      </c>
      <c r="C91" s="48">
        <v>328078</v>
      </c>
      <c r="D91" s="100" t="s">
        <v>125</v>
      </c>
      <c r="E91" s="47" t="s">
        <v>110</v>
      </c>
      <c r="F91" s="132">
        <v>40</v>
      </c>
      <c r="G91" s="33" t="s">
        <v>31</v>
      </c>
      <c r="H91" s="12">
        <v>8</v>
      </c>
      <c r="I91" s="46">
        <f t="shared" si="4"/>
        <v>8.7272727272727266</v>
      </c>
      <c r="J91" s="76">
        <f t="shared" si="3"/>
        <v>1.1000000000000001</v>
      </c>
      <c r="K91" s="77">
        <v>0.1</v>
      </c>
      <c r="L91" s="122">
        <v>40</v>
      </c>
      <c r="M91" s="139" t="s">
        <v>31</v>
      </c>
    </row>
    <row r="92" spans="1:13" s="92" customFormat="1" ht="198.75" customHeight="1" x14ac:dyDescent="0.2">
      <c r="A92" s="43">
        <v>87</v>
      </c>
      <c r="B92" s="48">
        <v>12330</v>
      </c>
      <c r="C92" s="48" t="s">
        <v>31</v>
      </c>
      <c r="D92" s="99" t="s">
        <v>126</v>
      </c>
      <c r="E92" s="47" t="s">
        <v>45</v>
      </c>
      <c r="F92" s="132">
        <v>2500</v>
      </c>
      <c r="G92" s="33" t="s">
        <v>31</v>
      </c>
      <c r="H92" s="53">
        <v>0</v>
      </c>
      <c r="I92" s="46">
        <f t="shared" si="4"/>
        <v>0</v>
      </c>
      <c r="J92" s="123">
        <f t="shared" si="3"/>
        <v>1.1000000000000001</v>
      </c>
      <c r="K92" s="124">
        <v>0.1</v>
      </c>
      <c r="L92" s="122">
        <v>1200</v>
      </c>
      <c r="M92" s="139" t="s">
        <v>31</v>
      </c>
    </row>
    <row r="93" spans="1:13" ht="177" customHeight="1" x14ac:dyDescent="0.2">
      <c r="A93" s="43">
        <v>88</v>
      </c>
      <c r="B93" s="48">
        <v>12331</v>
      </c>
      <c r="C93" s="48" t="s">
        <v>31</v>
      </c>
      <c r="D93" s="99" t="s">
        <v>127</v>
      </c>
      <c r="E93" s="47" t="s">
        <v>45</v>
      </c>
      <c r="F93" s="132">
        <v>7298</v>
      </c>
      <c r="G93" s="33" t="s">
        <v>31</v>
      </c>
      <c r="H93" s="12">
        <v>4110</v>
      </c>
      <c r="I93" s="46">
        <f t="shared" si="4"/>
        <v>4483.636363636364</v>
      </c>
      <c r="J93" s="76">
        <f t="shared" si="3"/>
        <v>1.1000000000000001</v>
      </c>
      <c r="K93" s="77">
        <v>0.1</v>
      </c>
      <c r="L93" s="46">
        <v>5000</v>
      </c>
      <c r="M93" s="139" t="s">
        <v>31</v>
      </c>
    </row>
    <row r="94" spans="1:13" ht="181.5" customHeight="1" x14ac:dyDescent="0.2">
      <c r="A94" s="43">
        <v>89</v>
      </c>
      <c r="B94" s="48">
        <v>12332</v>
      </c>
      <c r="C94" s="48" t="s">
        <v>31</v>
      </c>
      <c r="D94" s="99" t="s">
        <v>128</v>
      </c>
      <c r="E94" s="47" t="s">
        <v>45</v>
      </c>
      <c r="F94" s="132">
        <v>11220</v>
      </c>
      <c r="G94" s="33" t="s">
        <v>31</v>
      </c>
      <c r="H94" s="12">
        <v>10129</v>
      </c>
      <c r="I94" s="46">
        <f t="shared" si="4"/>
        <v>11049.818181818182</v>
      </c>
      <c r="J94" s="76">
        <f t="shared" si="3"/>
        <v>1.1000000000000001</v>
      </c>
      <c r="K94" s="77">
        <v>0.1</v>
      </c>
      <c r="L94" s="46">
        <v>12200</v>
      </c>
      <c r="M94" s="139" t="s">
        <v>31</v>
      </c>
    </row>
    <row r="95" spans="1:13" ht="180.75" customHeight="1" x14ac:dyDescent="0.2">
      <c r="A95" s="43">
        <v>90</v>
      </c>
      <c r="B95" s="48">
        <v>12333</v>
      </c>
      <c r="C95" s="48" t="s">
        <v>31</v>
      </c>
      <c r="D95" s="99" t="s">
        <v>129</v>
      </c>
      <c r="E95" s="47" t="s">
        <v>45</v>
      </c>
      <c r="F95" s="132">
        <v>3000</v>
      </c>
      <c r="G95" s="33" t="s">
        <v>31</v>
      </c>
      <c r="H95" s="12">
        <v>600</v>
      </c>
      <c r="I95" s="46">
        <f t="shared" si="4"/>
        <v>654.5454545454545</v>
      </c>
      <c r="J95" s="76">
        <f t="shared" si="3"/>
        <v>1.1000000000000001</v>
      </c>
      <c r="K95" s="77">
        <v>0.1</v>
      </c>
      <c r="L95" s="46">
        <v>700</v>
      </c>
      <c r="M95" s="139" t="s">
        <v>31</v>
      </c>
    </row>
    <row r="96" spans="1:13" ht="262.5" customHeight="1" x14ac:dyDescent="0.2">
      <c r="A96" s="43">
        <v>91</v>
      </c>
      <c r="B96" s="48">
        <v>12334</v>
      </c>
      <c r="C96" s="48" t="s">
        <v>31</v>
      </c>
      <c r="D96" s="99" t="s">
        <v>130</v>
      </c>
      <c r="E96" s="47" t="s">
        <v>45</v>
      </c>
      <c r="F96" s="132">
        <v>1528</v>
      </c>
      <c r="G96" s="33" t="s">
        <v>31</v>
      </c>
      <c r="H96" s="12">
        <v>1008</v>
      </c>
      <c r="I96" s="46">
        <f t="shared" si="4"/>
        <v>1099.6363636363637</v>
      </c>
      <c r="J96" s="76">
        <f t="shared" si="3"/>
        <v>1.1000000000000001</v>
      </c>
      <c r="K96" s="77">
        <v>0.1</v>
      </c>
      <c r="L96" s="46">
        <v>1500</v>
      </c>
      <c r="M96" s="139" t="s">
        <v>31</v>
      </c>
    </row>
    <row r="97" spans="1:13" ht="153.75" customHeight="1" x14ac:dyDescent="0.2">
      <c r="A97" s="43">
        <v>92</v>
      </c>
      <c r="B97" s="48">
        <v>12335</v>
      </c>
      <c r="C97" s="48" t="s">
        <v>31</v>
      </c>
      <c r="D97" s="99" t="s">
        <v>131</v>
      </c>
      <c r="E97" s="47" t="s">
        <v>45</v>
      </c>
      <c r="F97" s="132">
        <v>100</v>
      </c>
      <c r="G97" s="33" t="s">
        <v>31</v>
      </c>
      <c r="H97" s="12">
        <v>0</v>
      </c>
      <c r="I97" s="46">
        <f t="shared" si="4"/>
        <v>0</v>
      </c>
      <c r="J97" s="76">
        <f t="shared" si="3"/>
        <v>1.1000000000000001</v>
      </c>
      <c r="K97" s="77">
        <v>0.1</v>
      </c>
      <c r="L97" s="128">
        <v>100</v>
      </c>
      <c r="M97" s="139" t="s">
        <v>31</v>
      </c>
    </row>
    <row r="98" spans="1:13" s="92" customFormat="1" ht="153.75" customHeight="1" x14ac:dyDescent="0.2">
      <c r="A98" s="133">
        <v>93</v>
      </c>
      <c r="B98" s="48">
        <v>12336</v>
      </c>
      <c r="C98" s="48" t="s">
        <v>31</v>
      </c>
      <c r="D98" s="99" t="s">
        <v>132</v>
      </c>
      <c r="E98" s="47" t="s">
        <v>45</v>
      </c>
      <c r="F98" s="132">
        <v>800</v>
      </c>
      <c r="G98" s="33" t="s">
        <v>31</v>
      </c>
      <c r="H98" s="53"/>
      <c r="I98" s="46">
        <f t="shared" si="4"/>
        <v>0</v>
      </c>
      <c r="J98" s="123">
        <f t="shared" si="3"/>
        <v>1.1000000000000001</v>
      </c>
      <c r="K98" s="124">
        <v>0.1</v>
      </c>
      <c r="L98" s="122">
        <v>1000</v>
      </c>
      <c r="M98" s="139" t="s">
        <v>31</v>
      </c>
    </row>
    <row r="99" spans="1:13" ht="135.75" customHeight="1" x14ac:dyDescent="0.2">
      <c r="A99" s="43">
        <v>94</v>
      </c>
      <c r="B99" s="48">
        <v>12337</v>
      </c>
      <c r="C99" s="48" t="s">
        <v>31</v>
      </c>
      <c r="D99" s="99" t="s">
        <v>133</v>
      </c>
      <c r="E99" s="47" t="s">
        <v>45</v>
      </c>
      <c r="F99" s="132">
        <v>100</v>
      </c>
      <c r="G99" s="33" t="s">
        <v>31</v>
      </c>
      <c r="H99" s="12">
        <v>0</v>
      </c>
      <c r="I99" s="46">
        <f t="shared" si="4"/>
        <v>0</v>
      </c>
      <c r="J99" s="76">
        <f t="shared" si="3"/>
        <v>1.1000000000000001</v>
      </c>
      <c r="K99" s="77">
        <v>0.1</v>
      </c>
      <c r="L99" s="128">
        <v>100</v>
      </c>
      <c r="M99" s="139" t="s">
        <v>31</v>
      </c>
    </row>
    <row r="100" spans="1:13" ht="118.5" customHeight="1" x14ac:dyDescent="0.2">
      <c r="A100" s="43">
        <v>95</v>
      </c>
      <c r="B100" s="48">
        <v>12338</v>
      </c>
      <c r="C100" s="48" t="s">
        <v>31</v>
      </c>
      <c r="D100" s="99" t="s">
        <v>134</v>
      </c>
      <c r="E100" s="47" t="s">
        <v>45</v>
      </c>
      <c r="F100" s="53">
        <v>20</v>
      </c>
      <c r="G100" s="33" t="s">
        <v>31</v>
      </c>
      <c r="H100" s="12">
        <v>13</v>
      </c>
      <c r="I100" s="46">
        <f t="shared" si="4"/>
        <v>14.181818181818183</v>
      </c>
      <c r="J100" s="76">
        <f t="shared" si="3"/>
        <v>1.1000000000000001</v>
      </c>
      <c r="K100" s="77">
        <v>0.1</v>
      </c>
      <c r="L100" s="128">
        <v>20</v>
      </c>
      <c r="M100" s="139" t="s">
        <v>31</v>
      </c>
    </row>
    <row r="101" spans="1:13" ht="201" customHeight="1" x14ac:dyDescent="0.2">
      <c r="A101" s="43">
        <v>96</v>
      </c>
      <c r="B101" s="48">
        <v>12339</v>
      </c>
      <c r="C101" s="48">
        <v>386115</v>
      </c>
      <c r="D101" s="99" t="s">
        <v>135</v>
      </c>
      <c r="E101" s="47" t="s">
        <v>45</v>
      </c>
      <c r="F101" s="53">
        <v>396</v>
      </c>
      <c r="G101" s="33" t="s">
        <v>31</v>
      </c>
      <c r="H101" s="12">
        <v>50</v>
      </c>
      <c r="I101" s="46">
        <f t="shared" si="4"/>
        <v>54.545454545454547</v>
      </c>
      <c r="J101" s="76">
        <f t="shared" si="3"/>
        <v>1.1000000000000001</v>
      </c>
      <c r="K101" s="77">
        <v>0.1</v>
      </c>
      <c r="L101" s="46">
        <v>100</v>
      </c>
      <c r="M101" s="139" t="s">
        <v>31</v>
      </c>
    </row>
    <row r="102" spans="1:13" ht="197.25" customHeight="1" x14ac:dyDescent="0.2">
      <c r="A102" s="43">
        <v>97</v>
      </c>
      <c r="B102" s="48">
        <v>12340</v>
      </c>
      <c r="C102" s="48" t="s">
        <v>31</v>
      </c>
      <c r="D102" s="99" t="s">
        <v>136</v>
      </c>
      <c r="E102" s="47" t="s">
        <v>45</v>
      </c>
      <c r="F102" s="53">
        <v>18750</v>
      </c>
      <c r="G102" s="33" t="s">
        <v>31</v>
      </c>
      <c r="H102" s="12">
        <v>25762</v>
      </c>
      <c r="I102" s="46">
        <f t="shared" si="4"/>
        <v>28104</v>
      </c>
      <c r="J102" s="76">
        <f t="shared" si="3"/>
        <v>1.1000000000000001</v>
      </c>
      <c r="K102" s="77">
        <v>0.1</v>
      </c>
      <c r="L102" s="46">
        <v>30950</v>
      </c>
      <c r="M102" s="139" t="s">
        <v>31</v>
      </c>
    </row>
    <row r="103" spans="1:13" ht="118.5" customHeight="1" x14ac:dyDescent="0.2">
      <c r="A103" s="43">
        <v>98</v>
      </c>
      <c r="B103" s="48">
        <v>12341</v>
      </c>
      <c r="C103" s="48" t="s">
        <v>31</v>
      </c>
      <c r="D103" s="99" t="s">
        <v>137</v>
      </c>
      <c r="E103" s="47" t="s">
        <v>45</v>
      </c>
      <c r="F103" s="53">
        <v>500</v>
      </c>
      <c r="G103" s="33" t="s">
        <v>31</v>
      </c>
      <c r="H103" s="12">
        <v>496</v>
      </c>
      <c r="I103" s="46">
        <f t="shared" si="4"/>
        <v>541.09090909090912</v>
      </c>
      <c r="J103" s="76">
        <f t="shared" si="3"/>
        <v>1.1000000000000001</v>
      </c>
      <c r="K103" s="77">
        <v>0.1</v>
      </c>
      <c r="L103" s="46">
        <v>600</v>
      </c>
      <c r="M103" s="139" t="s">
        <v>31</v>
      </c>
    </row>
    <row r="104" spans="1:13" ht="118.5" customHeight="1" x14ac:dyDescent="0.2">
      <c r="A104" s="43">
        <v>99</v>
      </c>
      <c r="B104" s="48">
        <v>16557</v>
      </c>
      <c r="C104" s="48" t="s">
        <v>31</v>
      </c>
      <c r="D104" s="99" t="s">
        <v>927</v>
      </c>
      <c r="E104" s="47" t="s">
        <v>45</v>
      </c>
      <c r="F104" s="53">
        <v>6000</v>
      </c>
      <c r="G104" s="33" t="s">
        <v>31</v>
      </c>
      <c r="H104" s="12">
        <v>3230</v>
      </c>
      <c r="I104" s="46">
        <f t="shared" si="4"/>
        <v>3523.6363636363635</v>
      </c>
      <c r="J104" s="76">
        <f t="shared" si="3"/>
        <v>1.1000000000000001</v>
      </c>
      <c r="K104" s="77">
        <v>0.1</v>
      </c>
      <c r="L104" s="46">
        <f t="shared" si="5"/>
        <v>3876</v>
      </c>
      <c r="M104" s="139" t="s">
        <v>31</v>
      </c>
    </row>
    <row r="105" spans="1:13" ht="118.5" customHeight="1" x14ac:dyDescent="0.2">
      <c r="A105" s="43">
        <v>100</v>
      </c>
      <c r="B105" s="48">
        <v>12343</v>
      </c>
      <c r="C105" s="48">
        <v>432464</v>
      </c>
      <c r="D105" s="99" t="s">
        <v>138</v>
      </c>
      <c r="E105" s="47" t="s">
        <v>45</v>
      </c>
      <c r="F105" s="53">
        <v>200</v>
      </c>
      <c r="G105" s="33" t="s">
        <v>31</v>
      </c>
      <c r="H105" s="12">
        <v>55</v>
      </c>
      <c r="I105" s="46">
        <f t="shared" si="4"/>
        <v>60</v>
      </c>
      <c r="J105" s="76">
        <f t="shared" ref="J105:J163" si="6">1+K105</f>
        <v>1.1000000000000001</v>
      </c>
      <c r="K105" s="77">
        <v>0.1</v>
      </c>
      <c r="L105" s="128">
        <v>150</v>
      </c>
      <c r="M105" s="139" t="s">
        <v>31</v>
      </c>
    </row>
    <row r="106" spans="1:13" ht="118.5" customHeight="1" x14ac:dyDescent="0.2">
      <c r="A106" s="43">
        <v>101</v>
      </c>
      <c r="B106" s="48">
        <v>12344</v>
      </c>
      <c r="C106" s="48">
        <v>432474</v>
      </c>
      <c r="D106" s="99" t="s">
        <v>139</v>
      </c>
      <c r="E106" s="47" t="s">
        <v>45</v>
      </c>
      <c r="F106" s="53">
        <v>12</v>
      </c>
      <c r="G106" s="33" t="s">
        <v>31</v>
      </c>
      <c r="H106" s="12">
        <v>5</v>
      </c>
      <c r="I106" s="46">
        <f t="shared" si="4"/>
        <v>5.4545454545454541</v>
      </c>
      <c r="J106" s="76">
        <f t="shared" si="6"/>
        <v>1.1000000000000001</v>
      </c>
      <c r="K106" s="77">
        <v>0.1</v>
      </c>
      <c r="L106" s="128">
        <v>12</v>
      </c>
      <c r="M106" s="139" t="s">
        <v>31</v>
      </c>
    </row>
    <row r="107" spans="1:13" ht="118.5" customHeight="1" x14ac:dyDescent="0.2">
      <c r="A107" s="43">
        <v>102</v>
      </c>
      <c r="B107" s="48">
        <v>12345</v>
      </c>
      <c r="C107" s="48">
        <v>432480</v>
      </c>
      <c r="D107" s="99" t="s">
        <v>140</v>
      </c>
      <c r="E107" s="47" t="s">
        <v>45</v>
      </c>
      <c r="F107" s="53">
        <v>20</v>
      </c>
      <c r="G107" s="33" t="s">
        <v>31</v>
      </c>
      <c r="H107" s="12">
        <v>5</v>
      </c>
      <c r="I107" s="46">
        <f t="shared" si="4"/>
        <v>5.4545454545454541</v>
      </c>
      <c r="J107" s="76">
        <f t="shared" si="6"/>
        <v>1.1000000000000001</v>
      </c>
      <c r="K107" s="77">
        <v>0.1</v>
      </c>
      <c r="L107" s="46">
        <f t="shared" si="5"/>
        <v>6</v>
      </c>
      <c r="M107" s="139" t="s">
        <v>31</v>
      </c>
    </row>
    <row r="108" spans="1:13" ht="148.5" customHeight="1" x14ac:dyDescent="0.2">
      <c r="A108" s="43">
        <v>103</v>
      </c>
      <c r="B108" s="48">
        <v>12346</v>
      </c>
      <c r="C108" s="48">
        <v>436952</v>
      </c>
      <c r="D108" s="100" t="s">
        <v>141</v>
      </c>
      <c r="E108" s="47" t="s">
        <v>45</v>
      </c>
      <c r="F108" s="53">
        <v>15</v>
      </c>
      <c r="G108" s="33" t="s">
        <v>31</v>
      </c>
      <c r="H108" s="12">
        <v>0</v>
      </c>
      <c r="I108" s="46">
        <f t="shared" si="4"/>
        <v>0</v>
      </c>
      <c r="J108" s="76">
        <f t="shared" si="6"/>
        <v>1.1000000000000001</v>
      </c>
      <c r="K108" s="77">
        <v>0.1</v>
      </c>
      <c r="L108" s="128">
        <v>10</v>
      </c>
      <c r="M108" s="139" t="s">
        <v>31</v>
      </c>
    </row>
    <row r="109" spans="1:13" ht="118.5" customHeight="1" x14ac:dyDescent="0.2">
      <c r="A109" s="43">
        <v>104</v>
      </c>
      <c r="B109" s="48">
        <v>12347</v>
      </c>
      <c r="C109" s="48">
        <v>461244</v>
      </c>
      <c r="D109" s="99" t="s">
        <v>142</v>
      </c>
      <c r="E109" s="47" t="s">
        <v>45</v>
      </c>
      <c r="F109" s="53">
        <v>100</v>
      </c>
      <c r="G109" s="33" t="s">
        <v>31</v>
      </c>
      <c r="H109" s="12">
        <v>0</v>
      </c>
      <c r="I109" s="46">
        <f t="shared" si="4"/>
        <v>0</v>
      </c>
      <c r="J109" s="76">
        <f t="shared" si="6"/>
        <v>1.1000000000000001</v>
      </c>
      <c r="K109" s="77">
        <v>0.1</v>
      </c>
      <c r="L109" s="122">
        <v>50</v>
      </c>
      <c r="M109" s="139" t="s">
        <v>31</v>
      </c>
    </row>
    <row r="110" spans="1:13" ht="118.5" customHeight="1" x14ac:dyDescent="0.2">
      <c r="A110" s="43">
        <v>105</v>
      </c>
      <c r="B110" s="48">
        <v>12348</v>
      </c>
      <c r="C110" s="52" t="s">
        <v>31</v>
      </c>
      <c r="D110" s="100" t="s">
        <v>143</v>
      </c>
      <c r="E110" s="47" t="s">
        <v>45</v>
      </c>
      <c r="F110" s="53">
        <v>2066</v>
      </c>
      <c r="G110" s="33" t="s">
        <v>31</v>
      </c>
      <c r="H110" s="12">
        <v>0</v>
      </c>
      <c r="I110" s="46">
        <f t="shared" si="4"/>
        <v>0</v>
      </c>
      <c r="J110" s="76">
        <f t="shared" si="6"/>
        <v>1.1000000000000001</v>
      </c>
      <c r="K110" s="77">
        <v>0.1</v>
      </c>
      <c r="L110" s="122">
        <v>50</v>
      </c>
      <c r="M110" s="139" t="s">
        <v>31</v>
      </c>
    </row>
    <row r="111" spans="1:13" s="92" customFormat="1" ht="227.25" customHeight="1" x14ac:dyDescent="0.2">
      <c r="A111" s="43">
        <v>106</v>
      </c>
      <c r="B111" s="48">
        <v>16333</v>
      </c>
      <c r="C111" s="48">
        <v>425353</v>
      </c>
      <c r="D111" s="99" t="s">
        <v>839</v>
      </c>
      <c r="E111" s="47" t="s">
        <v>45</v>
      </c>
      <c r="F111" s="53">
        <v>2000</v>
      </c>
      <c r="G111" s="53" t="s">
        <v>31</v>
      </c>
      <c r="H111" s="53">
        <v>467</v>
      </c>
      <c r="I111" s="46">
        <f t="shared" si="4"/>
        <v>509.45454545454544</v>
      </c>
      <c r="J111" s="123">
        <f t="shared" si="6"/>
        <v>1.1000000000000001</v>
      </c>
      <c r="K111" s="124">
        <v>0.1</v>
      </c>
      <c r="L111" s="122">
        <v>1000</v>
      </c>
      <c r="M111" s="139" t="s">
        <v>31</v>
      </c>
    </row>
    <row r="112" spans="1:13" s="92" customFormat="1" ht="224.25" customHeight="1" x14ac:dyDescent="0.2">
      <c r="A112" s="43">
        <v>107</v>
      </c>
      <c r="B112" s="48">
        <v>16334</v>
      </c>
      <c r="C112" s="48">
        <v>425354</v>
      </c>
      <c r="D112" s="99" t="s">
        <v>840</v>
      </c>
      <c r="E112" s="47" t="s">
        <v>45</v>
      </c>
      <c r="F112" s="53">
        <v>6000</v>
      </c>
      <c r="G112" s="53" t="s">
        <v>31</v>
      </c>
      <c r="H112" s="53">
        <v>2000</v>
      </c>
      <c r="I112" s="46">
        <f t="shared" si="4"/>
        <v>2181.818181818182</v>
      </c>
      <c r="J112" s="123">
        <f t="shared" si="6"/>
        <v>1.1000000000000001</v>
      </c>
      <c r="K112" s="124">
        <v>0.1</v>
      </c>
      <c r="L112" s="46" t="s">
        <v>31</v>
      </c>
      <c r="M112" s="178">
        <v>16800</v>
      </c>
    </row>
    <row r="113" spans="1:13" s="92" customFormat="1" ht="216.75" x14ac:dyDescent="0.2">
      <c r="A113" s="43">
        <v>108</v>
      </c>
      <c r="B113" s="48">
        <v>16335</v>
      </c>
      <c r="C113" s="48">
        <v>425355</v>
      </c>
      <c r="D113" s="34" t="s">
        <v>841</v>
      </c>
      <c r="E113" s="33" t="s">
        <v>45</v>
      </c>
      <c r="F113" s="53">
        <v>8000</v>
      </c>
      <c r="G113" s="53" t="s">
        <v>31</v>
      </c>
      <c r="H113" s="53">
        <v>5815</v>
      </c>
      <c r="I113" s="46">
        <f t="shared" si="4"/>
        <v>6343.636363636364</v>
      </c>
      <c r="J113" s="123">
        <f t="shared" si="6"/>
        <v>1.1000000000000001</v>
      </c>
      <c r="K113" s="124">
        <v>0.1</v>
      </c>
      <c r="L113" s="46" t="s">
        <v>31</v>
      </c>
      <c r="M113" s="178">
        <v>25200</v>
      </c>
    </row>
    <row r="114" spans="1:13" ht="185.25" customHeight="1" x14ac:dyDescent="0.2">
      <c r="A114" s="43">
        <v>109</v>
      </c>
      <c r="B114" s="48">
        <v>12352</v>
      </c>
      <c r="C114" s="44" t="s">
        <v>31</v>
      </c>
      <c r="D114" s="99" t="s">
        <v>144</v>
      </c>
      <c r="E114" s="45" t="s">
        <v>45</v>
      </c>
      <c r="F114" s="53">
        <v>10000</v>
      </c>
      <c r="G114" s="53" t="s">
        <v>31</v>
      </c>
      <c r="H114" s="12">
        <v>8358</v>
      </c>
      <c r="I114" s="46">
        <f t="shared" si="4"/>
        <v>9117.818181818182</v>
      </c>
      <c r="J114" s="78">
        <f t="shared" si="6"/>
        <v>1.1000000000000001</v>
      </c>
      <c r="K114" s="79">
        <v>0.1</v>
      </c>
      <c r="L114" s="46" t="s">
        <v>31</v>
      </c>
      <c r="M114" s="178">
        <v>36000</v>
      </c>
    </row>
    <row r="115" spans="1:13" ht="118.5" customHeight="1" x14ac:dyDescent="0.2">
      <c r="A115" s="43">
        <v>110</v>
      </c>
      <c r="B115" s="48">
        <v>12353</v>
      </c>
      <c r="C115" s="48">
        <v>279887</v>
      </c>
      <c r="D115" s="99" t="s">
        <v>145</v>
      </c>
      <c r="E115" s="47" t="s">
        <v>45</v>
      </c>
      <c r="F115" s="53">
        <v>156</v>
      </c>
      <c r="G115" s="53" t="s">
        <v>31</v>
      </c>
      <c r="H115" s="12">
        <v>40</v>
      </c>
      <c r="I115" s="46">
        <f t="shared" si="4"/>
        <v>43.636363636363633</v>
      </c>
      <c r="J115" s="76">
        <f t="shared" si="6"/>
        <v>1.1000000000000001</v>
      </c>
      <c r="K115" s="77">
        <v>0.1</v>
      </c>
      <c r="L115" s="46">
        <f t="shared" si="5"/>
        <v>48</v>
      </c>
      <c r="M115" s="139" t="s">
        <v>31</v>
      </c>
    </row>
    <row r="116" spans="1:13" ht="132" customHeight="1" x14ac:dyDescent="0.2">
      <c r="A116" s="43">
        <v>111</v>
      </c>
      <c r="B116" s="48">
        <v>12354</v>
      </c>
      <c r="C116" s="48">
        <v>427338</v>
      </c>
      <c r="D116" s="99" t="s">
        <v>146</v>
      </c>
      <c r="E116" s="47" t="s">
        <v>45</v>
      </c>
      <c r="F116" s="53">
        <v>36960</v>
      </c>
      <c r="G116" s="53" t="s">
        <v>31</v>
      </c>
      <c r="H116" s="12">
        <v>12053</v>
      </c>
      <c r="I116" s="46">
        <f t="shared" si="4"/>
        <v>13148.727272727272</v>
      </c>
      <c r="J116" s="76">
        <f t="shared" si="6"/>
        <v>1.1000000000000001</v>
      </c>
      <c r="K116" s="77">
        <v>0.1</v>
      </c>
      <c r="L116" s="46">
        <v>16100</v>
      </c>
      <c r="M116" s="139" t="s">
        <v>31</v>
      </c>
    </row>
    <row r="117" spans="1:13" ht="128.25" customHeight="1" x14ac:dyDescent="0.2">
      <c r="A117" s="43">
        <v>112</v>
      </c>
      <c r="B117" s="48">
        <v>12356</v>
      </c>
      <c r="C117" s="48">
        <v>358131</v>
      </c>
      <c r="D117" s="99" t="s">
        <v>147</v>
      </c>
      <c r="E117" s="47" t="s">
        <v>45</v>
      </c>
      <c r="F117" s="53">
        <v>48687</v>
      </c>
      <c r="G117" s="53" t="s">
        <v>31</v>
      </c>
      <c r="H117" s="12">
        <v>35768</v>
      </c>
      <c r="I117" s="46">
        <f t="shared" si="4"/>
        <v>39019.63636363636</v>
      </c>
      <c r="J117" s="76">
        <f t="shared" si="6"/>
        <v>1.1000000000000001</v>
      </c>
      <c r="K117" s="77">
        <v>0.1</v>
      </c>
      <c r="L117" s="46">
        <v>43100</v>
      </c>
      <c r="M117" s="139" t="s">
        <v>31</v>
      </c>
    </row>
    <row r="118" spans="1:13" ht="129" customHeight="1" x14ac:dyDescent="0.2">
      <c r="A118" s="43">
        <v>113</v>
      </c>
      <c r="B118" s="48">
        <v>12357</v>
      </c>
      <c r="C118" s="44">
        <v>358132</v>
      </c>
      <c r="D118" s="97" t="s">
        <v>148</v>
      </c>
      <c r="E118" s="45" t="s">
        <v>45</v>
      </c>
      <c r="F118" s="53">
        <v>104588</v>
      </c>
      <c r="G118" s="53" t="s">
        <v>31</v>
      </c>
      <c r="H118" s="12">
        <v>108782</v>
      </c>
      <c r="I118" s="46">
        <f t="shared" si="4"/>
        <v>118671.27272727274</v>
      </c>
      <c r="J118" s="76">
        <f t="shared" si="6"/>
        <v>1.1000000000000001</v>
      </c>
      <c r="K118" s="77">
        <v>0.1</v>
      </c>
      <c r="L118" s="46">
        <f t="shared" si="5"/>
        <v>130538</v>
      </c>
      <c r="M118" s="139" t="s">
        <v>31</v>
      </c>
    </row>
    <row r="119" spans="1:13" ht="130.5" customHeight="1" x14ac:dyDescent="0.2">
      <c r="A119" s="43">
        <v>114</v>
      </c>
      <c r="B119" s="48">
        <v>12358</v>
      </c>
      <c r="C119" s="44">
        <v>380597</v>
      </c>
      <c r="D119" s="97" t="s">
        <v>149</v>
      </c>
      <c r="E119" s="45" t="s">
        <v>45</v>
      </c>
      <c r="F119" s="53">
        <v>82878</v>
      </c>
      <c r="G119" s="53" t="s">
        <v>31</v>
      </c>
      <c r="H119" s="12">
        <v>108040</v>
      </c>
      <c r="I119" s="46">
        <f t="shared" si="4"/>
        <v>117861.81818181818</v>
      </c>
      <c r="J119" s="76">
        <f t="shared" si="6"/>
        <v>1.1000000000000001</v>
      </c>
      <c r="K119" s="77">
        <v>0.1</v>
      </c>
      <c r="L119" s="46">
        <f t="shared" si="5"/>
        <v>129648</v>
      </c>
      <c r="M119" s="139" t="s">
        <v>31</v>
      </c>
    </row>
    <row r="120" spans="1:13" ht="153" x14ac:dyDescent="0.2">
      <c r="A120" s="43">
        <v>115</v>
      </c>
      <c r="B120" s="48">
        <v>12359</v>
      </c>
      <c r="C120" s="44">
        <v>437863</v>
      </c>
      <c r="D120" s="97" t="s">
        <v>150</v>
      </c>
      <c r="E120" s="45" t="s">
        <v>45</v>
      </c>
      <c r="F120" s="53">
        <v>5000</v>
      </c>
      <c r="G120" s="53" t="s">
        <v>31</v>
      </c>
      <c r="H120" s="12">
        <v>2030</v>
      </c>
      <c r="I120" s="46">
        <f t="shared" si="4"/>
        <v>2214.5454545454545</v>
      </c>
      <c r="J120" s="76">
        <f t="shared" si="6"/>
        <v>1.1000000000000001</v>
      </c>
      <c r="K120" s="77">
        <v>0.1</v>
      </c>
      <c r="L120" s="46">
        <f t="shared" si="5"/>
        <v>2436</v>
      </c>
      <c r="M120" s="139" t="s">
        <v>31</v>
      </c>
    </row>
    <row r="121" spans="1:13" ht="173.25" customHeight="1" x14ac:dyDescent="0.2">
      <c r="A121" s="43">
        <v>116</v>
      </c>
      <c r="B121" s="48">
        <v>12360</v>
      </c>
      <c r="C121" s="48">
        <v>437862</v>
      </c>
      <c r="D121" s="97" t="s">
        <v>151</v>
      </c>
      <c r="E121" s="45" t="s">
        <v>45</v>
      </c>
      <c r="F121" s="53">
        <v>495</v>
      </c>
      <c r="G121" s="53" t="s">
        <v>31</v>
      </c>
      <c r="H121" s="12">
        <v>313</v>
      </c>
      <c r="I121" s="46">
        <f t="shared" si="4"/>
        <v>341.45454545454544</v>
      </c>
      <c r="J121" s="76">
        <f t="shared" si="6"/>
        <v>1.1000000000000001</v>
      </c>
      <c r="K121" s="77">
        <v>0.1</v>
      </c>
      <c r="L121" s="46">
        <f t="shared" si="5"/>
        <v>376</v>
      </c>
      <c r="M121" s="139" t="s">
        <v>31</v>
      </c>
    </row>
    <row r="122" spans="1:13" ht="121.5" customHeight="1" x14ac:dyDescent="0.2">
      <c r="A122" s="43">
        <v>117</v>
      </c>
      <c r="B122" s="48">
        <v>12361</v>
      </c>
      <c r="C122" s="48" t="s">
        <v>31</v>
      </c>
      <c r="D122" s="97" t="s">
        <v>152</v>
      </c>
      <c r="E122" s="45" t="s">
        <v>45</v>
      </c>
      <c r="F122" s="53">
        <v>4924</v>
      </c>
      <c r="G122" s="53" t="s">
        <v>31</v>
      </c>
      <c r="H122" s="12">
        <v>1303</v>
      </c>
      <c r="I122" s="46">
        <f t="shared" si="4"/>
        <v>1421.4545454545455</v>
      </c>
      <c r="J122" s="76">
        <f t="shared" si="6"/>
        <v>1.1000000000000001</v>
      </c>
      <c r="K122" s="77">
        <v>0.1</v>
      </c>
      <c r="L122" s="46">
        <f t="shared" si="5"/>
        <v>1564</v>
      </c>
      <c r="M122" s="139" t="s">
        <v>31</v>
      </c>
    </row>
    <row r="123" spans="1:13" ht="118.5" customHeight="1" x14ac:dyDescent="0.2">
      <c r="A123" s="43">
        <v>118</v>
      </c>
      <c r="B123" s="48">
        <v>12362</v>
      </c>
      <c r="C123" s="44">
        <v>452987</v>
      </c>
      <c r="D123" s="97" t="s">
        <v>153</v>
      </c>
      <c r="E123" s="45" t="s">
        <v>45</v>
      </c>
      <c r="F123" s="53">
        <v>5</v>
      </c>
      <c r="G123" s="53" t="s">
        <v>31</v>
      </c>
      <c r="H123" s="12">
        <v>0</v>
      </c>
      <c r="I123" s="46">
        <f t="shared" si="4"/>
        <v>0</v>
      </c>
      <c r="J123" s="76">
        <f t="shared" si="6"/>
        <v>1.1000000000000001</v>
      </c>
      <c r="K123" s="77">
        <v>0.1</v>
      </c>
      <c r="L123" s="128">
        <v>5</v>
      </c>
      <c r="M123" s="139" t="s">
        <v>31</v>
      </c>
    </row>
    <row r="124" spans="1:13" ht="118.5" customHeight="1" x14ac:dyDescent="0.2">
      <c r="A124" s="43">
        <v>119</v>
      </c>
      <c r="B124" s="48">
        <v>12363</v>
      </c>
      <c r="C124" s="48">
        <v>452986</v>
      </c>
      <c r="D124" s="100" t="s">
        <v>154</v>
      </c>
      <c r="E124" s="47" t="s">
        <v>45</v>
      </c>
      <c r="F124" s="53">
        <v>5</v>
      </c>
      <c r="G124" s="53" t="s">
        <v>31</v>
      </c>
      <c r="H124" s="12">
        <v>0</v>
      </c>
      <c r="I124" s="46">
        <f t="shared" si="4"/>
        <v>0</v>
      </c>
      <c r="J124" s="76">
        <f t="shared" si="6"/>
        <v>1.1000000000000001</v>
      </c>
      <c r="K124" s="77">
        <v>0.1</v>
      </c>
      <c r="L124" s="128">
        <v>5</v>
      </c>
      <c r="M124" s="139" t="s">
        <v>31</v>
      </c>
    </row>
    <row r="125" spans="1:13" ht="180.75" customHeight="1" x14ac:dyDescent="0.2">
      <c r="A125" s="43">
        <v>120</v>
      </c>
      <c r="B125" s="48">
        <v>12365</v>
      </c>
      <c r="C125" s="44" t="s">
        <v>31</v>
      </c>
      <c r="D125" s="97" t="s">
        <v>155</v>
      </c>
      <c r="E125" s="45" t="s">
        <v>45</v>
      </c>
      <c r="F125" s="53">
        <v>100</v>
      </c>
      <c r="G125" s="53" t="s">
        <v>31</v>
      </c>
      <c r="H125" s="12">
        <v>31</v>
      </c>
      <c r="I125" s="46">
        <f t="shared" si="4"/>
        <v>33.81818181818182</v>
      </c>
      <c r="J125" s="76">
        <f t="shared" si="6"/>
        <v>1.1000000000000001</v>
      </c>
      <c r="K125" s="77">
        <v>0.1</v>
      </c>
      <c r="L125" s="128">
        <v>100</v>
      </c>
      <c r="M125" s="139" t="s">
        <v>31</v>
      </c>
    </row>
    <row r="126" spans="1:13" ht="118.5" customHeight="1" x14ac:dyDescent="0.2">
      <c r="A126" s="43">
        <v>121</v>
      </c>
      <c r="B126" s="48">
        <v>12371</v>
      </c>
      <c r="C126" s="48">
        <v>415183</v>
      </c>
      <c r="D126" s="99" t="s">
        <v>156</v>
      </c>
      <c r="E126" s="45" t="s">
        <v>46</v>
      </c>
      <c r="F126" s="53">
        <v>25</v>
      </c>
      <c r="G126" s="53" t="s">
        <v>31</v>
      </c>
      <c r="H126" s="12">
        <v>25</v>
      </c>
      <c r="I126" s="46">
        <f t="shared" si="4"/>
        <v>27.272727272727273</v>
      </c>
      <c r="J126" s="76">
        <f t="shared" si="6"/>
        <v>1.1000000000000001</v>
      </c>
      <c r="K126" s="77">
        <v>0.1</v>
      </c>
      <c r="L126" s="128">
        <v>60</v>
      </c>
      <c r="M126" s="139" t="s">
        <v>31</v>
      </c>
    </row>
    <row r="127" spans="1:13" s="92" customFormat="1" ht="118.5" customHeight="1" x14ac:dyDescent="0.2">
      <c r="A127" s="43">
        <v>122</v>
      </c>
      <c r="B127" s="48">
        <v>16336</v>
      </c>
      <c r="C127" s="48" t="s">
        <v>31</v>
      </c>
      <c r="D127" s="98" t="s">
        <v>842</v>
      </c>
      <c r="E127" s="47" t="s">
        <v>46</v>
      </c>
      <c r="F127" s="53">
        <v>50</v>
      </c>
      <c r="G127" s="53" t="s">
        <v>31</v>
      </c>
      <c r="H127" s="53">
        <v>0</v>
      </c>
      <c r="I127" s="46">
        <f t="shared" si="4"/>
        <v>0</v>
      </c>
      <c r="J127" s="123">
        <f t="shared" si="6"/>
        <v>1.1000000000000001</v>
      </c>
      <c r="K127" s="124">
        <v>0.1</v>
      </c>
      <c r="L127" s="128">
        <v>50</v>
      </c>
      <c r="M127" s="139" t="s">
        <v>31</v>
      </c>
    </row>
    <row r="128" spans="1:13" s="92" customFormat="1" ht="118.5" customHeight="1" x14ac:dyDescent="0.2">
      <c r="A128" s="43">
        <v>123</v>
      </c>
      <c r="B128" s="48">
        <v>16337</v>
      </c>
      <c r="C128" s="48">
        <v>415181</v>
      </c>
      <c r="D128" s="98" t="s">
        <v>843</v>
      </c>
      <c r="E128" s="47" t="s">
        <v>46</v>
      </c>
      <c r="F128" s="53" t="s">
        <v>31</v>
      </c>
      <c r="G128" s="53" t="s">
        <v>31</v>
      </c>
      <c r="H128" s="53">
        <v>20</v>
      </c>
      <c r="I128" s="46">
        <f t="shared" si="4"/>
        <v>21.818181818181817</v>
      </c>
      <c r="J128" s="123">
        <f t="shared" si="6"/>
        <v>1.1000000000000001</v>
      </c>
      <c r="K128" s="124">
        <v>0.1</v>
      </c>
      <c r="L128" s="128">
        <v>52</v>
      </c>
      <c r="M128" s="139" t="s">
        <v>31</v>
      </c>
    </row>
    <row r="129" spans="1:13" ht="118.5" customHeight="1" x14ac:dyDescent="0.2">
      <c r="A129" s="43">
        <v>124</v>
      </c>
      <c r="B129" s="48">
        <v>12388</v>
      </c>
      <c r="C129" s="44">
        <v>350646</v>
      </c>
      <c r="D129" s="97" t="s">
        <v>159</v>
      </c>
      <c r="E129" s="45" t="s">
        <v>45</v>
      </c>
      <c r="F129" s="53">
        <v>62</v>
      </c>
      <c r="G129" s="53" t="s">
        <v>31</v>
      </c>
      <c r="H129" s="12">
        <v>0</v>
      </c>
      <c r="I129" s="46">
        <f t="shared" si="4"/>
        <v>0</v>
      </c>
      <c r="J129" s="76">
        <f t="shared" si="6"/>
        <v>1.1000000000000001</v>
      </c>
      <c r="K129" s="77">
        <v>0.1</v>
      </c>
      <c r="L129" s="128">
        <v>50</v>
      </c>
      <c r="M129" s="139" t="s">
        <v>31</v>
      </c>
    </row>
    <row r="130" spans="1:13" ht="118.5" customHeight="1" x14ac:dyDescent="0.2">
      <c r="A130" s="43">
        <v>125</v>
      </c>
      <c r="B130" s="48">
        <v>12390</v>
      </c>
      <c r="C130" s="44">
        <v>340859</v>
      </c>
      <c r="D130" s="97" t="s">
        <v>160</v>
      </c>
      <c r="E130" s="45" t="s">
        <v>45</v>
      </c>
      <c r="F130" s="53">
        <v>250</v>
      </c>
      <c r="G130" s="53" t="s">
        <v>31</v>
      </c>
      <c r="H130" s="12">
        <v>100</v>
      </c>
      <c r="I130" s="46">
        <f t="shared" si="4"/>
        <v>109.09090909090909</v>
      </c>
      <c r="J130" s="76">
        <f t="shared" si="6"/>
        <v>1.1000000000000001</v>
      </c>
      <c r="K130" s="77">
        <v>0.1</v>
      </c>
      <c r="L130" s="46">
        <f t="shared" si="5"/>
        <v>120</v>
      </c>
      <c r="M130" s="139" t="s">
        <v>31</v>
      </c>
    </row>
    <row r="131" spans="1:13" ht="165.75" x14ac:dyDescent="0.2">
      <c r="A131" s="43">
        <v>126</v>
      </c>
      <c r="B131" s="48">
        <v>12394</v>
      </c>
      <c r="C131" s="44">
        <v>350986</v>
      </c>
      <c r="D131" s="97" t="s">
        <v>161</v>
      </c>
      <c r="E131" s="45" t="s">
        <v>46</v>
      </c>
      <c r="F131" s="53">
        <v>100</v>
      </c>
      <c r="G131" s="53" t="s">
        <v>31</v>
      </c>
      <c r="H131" s="12">
        <v>16</v>
      </c>
      <c r="I131" s="46">
        <f t="shared" si="4"/>
        <v>17.454545454545453</v>
      </c>
      <c r="J131" s="76">
        <f t="shared" si="6"/>
        <v>1.1000000000000001</v>
      </c>
      <c r="K131" s="77">
        <v>0.1</v>
      </c>
      <c r="L131" s="128">
        <v>50</v>
      </c>
      <c r="M131" s="139" t="s">
        <v>31</v>
      </c>
    </row>
    <row r="132" spans="1:13" ht="140.25" x14ac:dyDescent="0.2">
      <c r="A132" s="43">
        <v>127</v>
      </c>
      <c r="B132" s="48">
        <v>12395</v>
      </c>
      <c r="C132" s="49" t="s">
        <v>31</v>
      </c>
      <c r="D132" s="97" t="s">
        <v>162</v>
      </c>
      <c r="E132" s="45" t="s">
        <v>46</v>
      </c>
      <c r="F132" s="53">
        <v>50</v>
      </c>
      <c r="G132" s="53" t="s">
        <v>31</v>
      </c>
      <c r="H132" s="12"/>
      <c r="I132" s="46">
        <v>1</v>
      </c>
      <c r="J132" s="76">
        <f t="shared" si="6"/>
        <v>1.1000000000000001</v>
      </c>
      <c r="K132" s="77">
        <v>0.1</v>
      </c>
      <c r="L132" s="128">
        <v>50</v>
      </c>
      <c r="M132" s="139" t="s">
        <v>31</v>
      </c>
    </row>
    <row r="133" spans="1:13" ht="140.25" x14ac:dyDescent="0.2">
      <c r="A133" s="43">
        <v>128</v>
      </c>
      <c r="B133" s="48">
        <v>12396</v>
      </c>
      <c r="C133" s="44">
        <v>281105</v>
      </c>
      <c r="D133" s="99" t="s">
        <v>163</v>
      </c>
      <c r="E133" s="45" t="s">
        <v>46</v>
      </c>
      <c r="F133" s="53">
        <v>100</v>
      </c>
      <c r="G133" s="53" t="s">
        <v>31</v>
      </c>
      <c r="H133" s="12">
        <v>4</v>
      </c>
      <c r="I133" s="46">
        <f t="shared" si="4"/>
        <v>4.3636363636363633</v>
      </c>
      <c r="J133" s="76">
        <f t="shared" si="6"/>
        <v>1.1000000000000001</v>
      </c>
      <c r="K133" s="77">
        <v>0.1</v>
      </c>
      <c r="L133" s="128">
        <v>50</v>
      </c>
      <c r="M133" s="139" t="s">
        <v>31</v>
      </c>
    </row>
    <row r="134" spans="1:13" ht="138.75" customHeight="1" x14ac:dyDescent="0.2">
      <c r="A134" s="43">
        <v>129</v>
      </c>
      <c r="B134" s="48">
        <v>12397</v>
      </c>
      <c r="C134" s="44">
        <v>281043</v>
      </c>
      <c r="D134" s="97" t="s">
        <v>164</v>
      </c>
      <c r="E134" s="45" t="s">
        <v>46</v>
      </c>
      <c r="F134" s="53">
        <v>100</v>
      </c>
      <c r="G134" s="53" t="s">
        <v>31</v>
      </c>
      <c r="H134" s="12">
        <v>0</v>
      </c>
      <c r="I134" s="46">
        <f t="shared" si="4"/>
        <v>0</v>
      </c>
      <c r="J134" s="76">
        <f t="shared" si="6"/>
        <v>1.1000000000000001</v>
      </c>
      <c r="K134" s="77">
        <v>0.1</v>
      </c>
      <c r="L134" s="128">
        <v>50</v>
      </c>
      <c r="M134" s="139" t="s">
        <v>31</v>
      </c>
    </row>
    <row r="135" spans="1:13" ht="138.75" customHeight="1" x14ac:dyDescent="0.2">
      <c r="A135" s="43">
        <v>130</v>
      </c>
      <c r="B135" s="48">
        <v>12398</v>
      </c>
      <c r="C135" s="44">
        <v>281057</v>
      </c>
      <c r="D135" s="97" t="s">
        <v>165</v>
      </c>
      <c r="E135" s="45" t="s">
        <v>46</v>
      </c>
      <c r="F135" s="53">
        <v>100</v>
      </c>
      <c r="G135" s="53" t="s">
        <v>31</v>
      </c>
      <c r="H135" s="12">
        <v>0</v>
      </c>
      <c r="I135" s="46">
        <f t="shared" ref="I135:I198" si="7">(H135/11)*12</f>
        <v>0</v>
      </c>
      <c r="J135" s="76">
        <f t="shared" si="6"/>
        <v>1.1000000000000001</v>
      </c>
      <c r="K135" s="77">
        <v>0.1</v>
      </c>
      <c r="L135" s="128">
        <v>50</v>
      </c>
      <c r="M135" s="139" t="s">
        <v>31</v>
      </c>
    </row>
    <row r="136" spans="1:13" ht="140.25" x14ac:dyDescent="0.2">
      <c r="A136" s="43">
        <v>131</v>
      </c>
      <c r="B136" s="48">
        <v>12399</v>
      </c>
      <c r="C136" s="44">
        <v>351240</v>
      </c>
      <c r="D136" s="97" t="s">
        <v>166</v>
      </c>
      <c r="E136" s="45" t="s">
        <v>46</v>
      </c>
      <c r="F136" s="53">
        <v>125</v>
      </c>
      <c r="G136" s="53" t="s">
        <v>31</v>
      </c>
      <c r="H136" s="12">
        <v>158</v>
      </c>
      <c r="I136" s="46">
        <f t="shared" si="7"/>
        <v>172.36363636363637</v>
      </c>
      <c r="J136" s="76">
        <f t="shared" si="6"/>
        <v>1.1000000000000001</v>
      </c>
      <c r="K136" s="77">
        <v>0.1</v>
      </c>
      <c r="L136" s="46">
        <f t="shared" ref="L136:L183" si="8">ROUND(I136*J136,)</f>
        <v>190</v>
      </c>
      <c r="M136" s="139" t="s">
        <v>31</v>
      </c>
    </row>
    <row r="137" spans="1:13" ht="140.25" x14ac:dyDescent="0.2">
      <c r="A137" s="43">
        <v>132</v>
      </c>
      <c r="B137" s="48">
        <v>12400</v>
      </c>
      <c r="C137" s="44">
        <v>281319</v>
      </c>
      <c r="D137" s="97" t="s">
        <v>167</v>
      </c>
      <c r="E137" s="45" t="s">
        <v>46</v>
      </c>
      <c r="F137" s="53">
        <v>125</v>
      </c>
      <c r="G137" s="53" t="s">
        <v>31</v>
      </c>
      <c r="H137" s="12">
        <v>106</v>
      </c>
      <c r="I137" s="46">
        <f t="shared" si="7"/>
        <v>115.63636363636364</v>
      </c>
      <c r="J137" s="76">
        <f t="shared" si="6"/>
        <v>1.1000000000000001</v>
      </c>
      <c r="K137" s="77">
        <v>0.1</v>
      </c>
      <c r="L137" s="128">
        <v>200</v>
      </c>
      <c r="M137" s="139" t="s">
        <v>31</v>
      </c>
    </row>
    <row r="138" spans="1:13" ht="156" customHeight="1" x14ac:dyDescent="0.2">
      <c r="A138" s="43">
        <v>133</v>
      </c>
      <c r="B138" s="48">
        <v>12401</v>
      </c>
      <c r="C138" s="44">
        <v>281325</v>
      </c>
      <c r="D138" s="97" t="s">
        <v>168</v>
      </c>
      <c r="E138" s="45" t="s">
        <v>46</v>
      </c>
      <c r="F138" s="53">
        <v>100</v>
      </c>
      <c r="G138" s="53" t="s">
        <v>31</v>
      </c>
      <c r="H138" s="12">
        <v>4</v>
      </c>
      <c r="I138" s="46">
        <f t="shared" si="7"/>
        <v>4.3636363636363633</v>
      </c>
      <c r="J138" s="76">
        <f t="shared" si="6"/>
        <v>1.1000000000000001</v>
      </c>
      <c r="K138" s="77">
        <v>0.1</v>
      </c>
      <c r="L138" s="128">
        <v>50</v>
      </c>
      <c r="M138" s="139" t="s">
        <v>31</v>
      </c>
    </row>
    <row r="139" spans="1:13" ht="140.25" x14ac:dyDescent="0.2">
      <c r="A139" s="43">
        <v>134</v>
      </c>
      <c r="B139" s="48">
        <v>12402</v>
      </c>
      <c r="C139" s="44">
        <v>281320</v>
      </c>
      <c r="D139" s="97" t="s">
        <v>169</v>
      </c>
      <c r="E139" s="45" t="s">
        <v>46</v>
      </c>
      <c r="F139" s="53">
        <v>100</v>
      </c>
      <c r="G139" s="53" t="s">
        <v>31</v>
      </c>
      <c r="H139" s="12">
        <v>107</v>
      </c>
      <c r="I139" s="46">
        <f t="shared" si="7"/>
        <v>116.72727272727272</v>
      </c>
      <c r="J139" s="76">
        <f t="shared" si="6"/>
        <v>1.1000000000000001</v>
      </c>
      <c r="K139" s="77">
        <v>0.1</v>
      </c>
      <c r="L139" s="122">
        <v>50</v>
      </c>
      <c r="M139" s="139" t="s">
        <v>31</v>
      </c>
    </row>
    <row r="140" spans="1:13" s="92" customFormat="1" ht="118.5" customHeight="1" x14ac:dyDescent="0.2">
      <c r="A140" s="133">
        <v>135</v>
      </c>
      <c r="B140" s="48">
        <v>16338</v>
      </c>
      <c r="C140" s="48" t="s">
        <v>31</v>
      </c>
      <c r="D140" s="99" t="s">
        <v>875</v>
      </c>
      <c r="E140" s="47" t="s">
        <v>45</v>
      </c>
      <c r="F140" s="53"/>
      <c r="G140" s="53" t="s">
        <v>31</v>
      </c>
      <c r="H140" s="53"/>
      <c r="I140" s="46">
        <f t="shared" si="7"/>
        <v>0</v>
      </c>
      <c r="J140" s="123">
        <f t="shared" si="6"/>
        <v>1.1000000000000001</v>
      </c>
      <c r="K140" s="124">
        <v>0.1</v>
      </c>
      <c r="L140" s="122">
        <v>100</v>
      </c>
      <c r="M140" s="139" t="s">
        <v>31</v>
      </c>
    </row>
    <row r="141" spans="1:13" ht="118.5" customHeight="1" x14ac:dyDescent="0.2">
      <c r="A141" s="43">
        <v>136</v>
      </c>
      <c r="B141" s="48">
        <v>12404</v>
      </c>
      <c r="C141" s="44">
        <v>436313</v>
      </c>
      <c r="D141" s="97" t="s">
        <v>170</v>
      </c>
      <c r="E141" s="45" t="s">
        <v>45</v>
      </c>
      <c r="F141" s="53">
        <v>3325</v>
      </c>
      <c r="G141" s="53" t="s">
        <v>31</v>
      </c>
      <c r="H141" s="12">
        <v>2050</v>
      </c>
      <c r="I141" s="46">
        <f t="shared" si="7"/>
        <v>2236.3636363636365</v>
      </c>
      <c r="J141" s="76">
        <f t="shared" si="6"/>
        <v>1.1000000000000001</v>
      </c>
      <c r="K141" s="77">
        <v>0.1</v>
      </c>
      <c r="L141" s="46">
        <v>5000</v>
      </c>
      <c r="M141" s="139" t="s">
        <v>31</v>
      </c>
    </row>
    <row r="142" spans="1:13" ht="118.5" customHeight="1" x14ac:dyDescent="0.2">
      <c r="A142" s="43">
        <v>137</v>
      </c>
      <c r="B142" s="48">
        <v>12405</v>
      </c>
      <c r="C142" s="48" t="s">
        <v>31</v>
      </c>
      <c r="D142" s="99" t="s">
        <v>171</v>
      </c>
      <c r="E142" s="45" t="s">
        <v>45</v>
      </c>
      <c r="F142" s="53">
        <v>356</v>
      </c>
      <c r="G142" s="53" t="s">
        <v>31</v>
      </c>
      <c r="H142" s="12">
        <v>233</v>
      </c>
      <c r="I142" s="46">
        <f t="shared" si="7"/>
        <v>254.18181818181819</v>
      </c>
      <c r="J142" s="76">
        <f t="shared" si="6"/>
        <v>1.1000000000000001</v>
      </c>
      <c r="K142" s="77">
        <v>0.1</v>
      </c>
      <c r="L142" s="46">
        <f t="shared" si="8"/>
        <v>280</v>
      </c>
      <c r="M142" s="139" t="s">
        <v>31</v>
      </c>
    </row>
    <row r="143" spans="1:13" ht="118.5" customHeight="1" x14ac:dyDescent="0.2">
      <c r="A143" s="43">
        <v>138</v>
      </c>
      <c r="B143" s="48">
        <v>12406</v>
      </c>
      <c r="C143" s="44">
        <v>452982</v>
      </c>
      <c r="D143" s="101" t="s">
        <v>172</v>
      </c>
      <c r="E143" s="45" t="s">
        <v>45</v>
      </c>
      <c r="F143" s="53">
        <v>3</v>
      </c>
      <c r="G143" s="53" t="s">
        <v>31</v>
      </c>
      <c r="H143" s="12"/>
      <c r="I143" s="46">
        <f t="shared" si="7"/>
        <v>0</v>
      </c>
      <c r="J143" s="76">
        <f t="shared" si="6"/>
        <v>1.1000000000000001</v>
      </c>
      <c r="K143" s="77">
        <v>0.1</v>
      </c>
      <c r="L143" s="122">
        <v>3</v>
      </c>
      <c r="M143" s="139" t="s">
        <v>31</v>
      </c>
    </row>
    <row r="144" spans="1:13" ht="118.5" customHeight="1" x14ac:dyDescent="0.2">
      <c r="A144" s="43">
        <v>139</v>
      </c>
      <c r="B144" s="48">
        <v>12407</v>
      </c>
      <c r="C144" s="44">
        <v>369204</v>
      </c>
      <c r="D144" s="97" t="s">
        <v>173</v>
      </c>
      <c r="E144" s="45" t="s">
        <v>45</v>
      </c>
      <c r="F144" s="53">
        <v>70</v>
      </c>
      <c r="G144" s="53" t="s">
        <v>31</v>
      </c>
      <c r="H144" s="12">
        <v>0</v>
      </c>
      <c r="I144" s="46">
        <f t="shared" si="7"/>
        <v>0</v>
      </c>
      <c r="J144" s="76">
        <f t="shared" si="6"/>
        <v>1.1000000000000001</v>
      </c>
      <c r="K144" s="77">
        <v>0.1</v>
      </c>
      <c r="L144" s="122">
        <v>20</v>
      </c>
      <c r="M144" s="139" t="s">
        <v>31</v>
      </c>
    </row>
    <row r="145" spans="1:13" ht="118.5" customHeight="1" x14ac:dyDescent="0.2">
      <c r="A145" s="43">
        <v>140</v>
      </c>
      <c r="B145" s="48">
        <v>12408</v>
      </c>
      <c r="C145" s="44">
        <v>445576</v>
      </c>
      <c r="D145" s="97" t="s">
        <v>174</v>
      </c>
      <c r="E145" s="45" t="s">
        <v>45</v>
      </c>
      <c r="F145" s="53">
        <v>50</v>
      </c>
      <c r="G145" s="53" t="s">
        <v>31</v>
      </c>
      <c r="H145" s="12">
        <v>0</v>
      </c>
      <c r="I145" s="46">
        <f t="shared" si="7"/>
        <v>0</v>
      </c>
      <c r="J145" s="76">
        <f t="shared" si="6"/>
        <v>1.1000000000000001</v>
      </c>
      <c r="K145" s="77">
        <v>0.1</v>
      </c>
      <c r="L145" s="122">
        <v>5</v>
      </c>
      <c r="M145" s="139" t="s">
        <v>31</v>
      </c>
    </row>
    <row r="146" spans="1:13" ht="118.5" customHeight="1" x14ac:dyDescent="0.2">
      <c r="A146" s="43">
        <v>141</v>
      </c>
      <c r="B146" s="48">
        <v>12409</v>
      </c>
      <c r="C146" s="44">
        <v>445577</v>
      </c>
      <c r="D146" s="97" t="s">
        <v>175</v>
      </c>
      <c r="E146" s="45" t="s">
        <v>45</v>
      </c>
      <c r="F146" s="53">
        <v>50</v>
      </c>
      <c r="G146" s="53" t="s">
        <v>31</v>
      </c>
      <c r="H146" s="12">
        <v>0</v>
      </c>
      <c r="I146" s="46">
        <f t="shared" si="7"/>
        <v>0</v>
      </c>
      <c r="J146" s="76">
        <f t="shared" si="6"/>
        <v>1.1000000000000001</v>
      </c>
      <c r="K146" s="77">
        <v>0.1</v>
      </c>
      <c r="L146" s="46">
        <v>5</v>
      </c>
      <c r="M146" s="139" t="s">
        <v>31</v>
      </c>
    </row>
    <row r="147" spans="1:13" ht="118.5" customHeight="1" x14ac:dyDescent="0.2">
      <c r="A147" s="43">
        <v>142</v>
      </c>
      <c r="B147" s="48">
        <v>16606</v>
      </c>
      <c r="C147" s="44" t="s">
        <v>31</v>
      </c>
      <c r="D147" s="97" t="s">
        <v>176</v>
      </c>
      <c r="E147" s="45" t="s">
        <v>157</v>
      </c>
      <c r="F147" s="53">
        <v>198</v>
      </c>
      <c r="G147" s="53" t="s">
        <v>31</v>
      </c>
      <c r="H147" s="12">
        <v>141</v>
      </c>
      <c r="I147" s="46">
        <f t="shared" si="7"/>
        <v>153.81818181818181</v>
      </c>
      <c r="J147" s="76">
        <f t="shared" si="6"/>
        <v>1.1000000000000001</v>
      </c>
      <c r="K147" s="77">
        <v>0.1</v>
      </c>
      <c r="L147" s="122">
        <v>250</v>
      </c>
      <c r="M147" s="139" t="s">
        <v>31</v>
      </c>
    </row>
    <row r="148" spans="1:13" ht="118.5" customHeight="1" x14ac:dyDescent="0.2">
      <c r="A148" s="43">
        <v>143</v>
      </c>
      <c r="B148" s="48">
        <v>12411</v>
      </c>
      <c r="C148" s="44">
        <v>230811</v>
      </c>
      <c r="D148" s="97" t="s">
        <v>177</v>
      </c>
      <c r="E148" s="45" t="s">
        <v>51</v>
      </c>
      <c r="F148" s="53">
        <v>50</v>
      </c>
      <c r="G148" s="53" t="s">
        <v>31</v>
      </c>
      <c r="H148" s="12">
        <v>0</v>
      </c>
      <c r="I148" s="46">
        <f t="shared" si="7"/>
        <v>0</v>
      </c>
      <c r="J148" s="76">
        <f t="shared" si="6"/>
        <v>1.1000000000000001</v>
      </c>
      <c r="K148" s="77">
        <v>0.1</v>
      </c>
      <c r="L148" s="122">
        <v>24</v>
      </c>
      <c r="M148" s="139" t="s">
        <v>31</v>
      </c>
    </row>
    <row r="149" spans="1:13" ht="118.5" customHeight="1" x14ac:dyDescent="0.2">
      <c r="A149" s="43">
        <v>144</v>
      </c>
      <c r="B149" s="48">
        <v>12412</v>
      </c>
      <c r="C149" s="44">
        <v>332346</v>
      </c>
      <c r="D149" s="101" t="s">
        <v>178</v>
      </c>
      <c r="E149" s="47" t="s">
        <v>158</v>
      </c>
      <c r="F149" s="53">
        <v>15</v>
      </c>
      <c r="G149" s="53" t="s">
        <v>31</v>
      </c>
      <c r="H149" s="12">
        <v>40</v>
      </c>
      <c r="I149" s="46">
        <f t="shared" si="7"/>
        <v>43.636363636363633</v>
      </c>
      <c r="J149" s="76">
        <f t="shared" si="6"/>
        <v>1.1000000000000001</v>
      </c>
      <c r="K149" s="77">
        <v>0.1</v>
      </c>
      <c r="L149" s="46">
        <f t="shared" si="8"/>
        <v>48</v>
      </c>
      <c r="M149" s="139" t="s">
        <v>31</v>
      </c>
    </row>
    <row r="150" spans="1:13" ht="118.5" customHeight="1" x14ac:dyDescent="0.2">
      <c r="A150" s="43">
        <v>145</v>
      </c>
      <c r="B150" s="48">
        <v>12413</v>
      </c>
      <c r="C150" s="44" t="s">
        <v>31</v>
      </c>
      <c r="D150" s="97" t="s">
        <v>179</v>
      </c>
      <c r="E150" s="45" t="s">
        <v>45</v>
      </c>
      <c r="F150" s="53">
        <v>3</v>
      </c>
      <c r="G150" s="53" t="s">
        <v>31</v>
      </c>
      <c r="H150" s="12">
        <v>0</v>
      </c>
      <c r="I150" s="46">
        <f t="shared" si="7"/>
        <v>0</v>
      </c>
      <c r="J150" s="76">
        <f t="shared" si="6"/>
        <v>1.1000000000000001</v>
      </c>
      <c r="K150" s="77">
        <v>0.1</v>
      </c>
      <c r="L150" s="122">
        <v>3</v>
      </c>
      <c r="M150" s="139" t="s">
        <v>31</v>
      </c>
    </row>
    <row r="151" spans="1:13" ht="118.5" customHeight="1" x14ac:dyDescent="0.2">
      <c r="A151" s="43">
        <v>146</v>
      </c>
      <c r="B151" s="48">
        <v>12414</v>
      </c>
      <c r="C151" s="48">
        <v>398705</v>
      </c>
      <c r="D151" s="99" t="s">
        <v>180</v>
      </c>
      <c r="E151" s="47" t="s">
        <v>51</v>
      </c>
      <c r="F151" s="53">
        <v>100</v>
      </c>
      <c r="G151" s="53" t="s">
        <v>31</v>
      </c>
      <c r="H151" s="12">
        <v>32</v>
      </c>
      <c r="I151" s="46">
        <f t="shared" si="7"/>
        <v>34.909090909090907</v>
      </c>
      <c r="J151" s="76">
        <f t="shared" si="6"/>
        <v>1.1000000000000001</v>
      </c>
      <c r="K151" s="77">
        <v>0.1</v>
      </c>
      <c r="L151" s="122">
        <v>48</v>
      </c>
      <c r="M151" s="139" t="s">
        <v>31</v>
      </c>
    </row>
    <row r="152" spans="1:13" ht="118.5" customHeight="1" x14ac:dyDescent="0.2">
      <c r="A152" s="43">
        <v>147</v>
      </c>
      <c r="B152" s="42">
        <v>12415</v>
      </c>
      <c r="C152" s="42">
        <v>454560</v>
      </c>
      <c r="D152" s="99" t="s">
        <v>181</v>
      </c>
      <c r="E152" s="45" t="s">
        <v>45</v>
      </c>
      <c r="F152" s="53">
        <v>125</v>
      </c>
      <c r="G152" s="53" t="s">
        <v>31</v>
      </c>
      <c r="H152" s="12">
        <v>6</v>
      </c>
      <c r="I152" s="46">
        <f t="shared" si="7"/>
        <v>6.545454545454545</v>
      </c>
      <c r="J152" s="76">
        <f t="shared" si="6"/>
        <v>1.1000000000000001</v>
      </c>
      <c r="K152" s="77">
        <v>0.1</v>
      </c>
      <c r="L152" s="122">
        <v>50</v>
      </c>
      <c r="M152" s="139" t="s">
        <v>31</v>
      </c>
    </row>
    <row r="153" spans="1:13" ht="118.5" customHeight="1" x14ac:dyDescent="0.2">
      <c r="A153" s="43">
        <v>148</v>
      </c>
      <c r="B153" s="48">
        <v>12416</v>
      </c>
      <c r="C153" s="48">
        <v>454561</v>
      </c>
      <c r="D153" s="99" t="s">
        <v>182</v>
      </c>
      <c r="E153" s="45" t="s">
        <v>45</v>
      </c>
      <c r="F153" s="53">
        <v>93</v>
      </c>
      <c r="G153" s="53" t="s">
        <v>31</v>
      </c>
      <c r="H153" s="12">
        <v>0</v>
      </c>
      <c r="I153" s="46">
        <f t="shared" si="7"/>
        <v>0</v>
      </c>
      <c r="J153" s="76">
        <f t="shared" si="6"/>
        <v>1.1000000000000001</v>
      </c>
      <c r="K153" s="77">
        <v>0.1</v>
      </c>
      <c r="L153" s="122">
        <v>50</v>
      </c>
      <c r="M153" s="139" t="s">
        <v>31</v>
      </c>
    </row>
    <row r="154" spans="1:13" ht="153" x14ac:dyDescent="0.2">
      <c r="A154" s="43">
        <v>149</v>
      </c>
      <c r="B154" s="48">
        <v>12417</v>
      </c>
      <c r="C154" s="48" t="s">
        <v>31</v>
      </c>
      <c r="D154" s="99" t="s">
        <v>183</v>
      </c>
      <c r="E154" s="45" t="s">
        <v>44</v>
      </c>
      <c r="F154" s="53">
        <v>92</v>
      </c>
      <c r="G154" s="53" t="s">
        <v>31</v>
      </c>
      <c r="H154" s="12">
        <v>0</v>
      </c>
      <c r="I154" s="46">
        <f t="shared" si="7"/>
        <v>0</v>
      </c>
      <c r="J154" s="76">
        <f t="shared" si="6"/>
        <v>1.1000000000000001</v>
      </c>
      <c r="K154" s="77">
        <v>0.1</v>
      </c>
      <c r="L154" s="122">
        <v>50</v>
      </c>
      <c r="M154" s="139" t="s">
        <v>31</v>
      </c>
    </row>
    <row r="155" spans="1:13" ht="153" x14ac:dyDescent="0.2">
      <c r="A155" s="43">
        <v>150</v>
      </c>
      <c r="B155" s="48">
        <v>12418</v>
      </c>
      <c r="C155" s="48" t="s">
        <v>31</v>
      </c>
      <c r="D155" s="99" t="s">
        <v>184</v>
      </c>
      <c r="E155" s="45" t="s">
        <v>44</v>
      </c>
      <c r="F155" s="53">
        <v>75</v>
      </c>
      <c r="G155" s="53" t="s">
        <v>31</v>
      </c>
      <c r="H155" s="12">
        <v>0</v>
      </c>
      <c r="I155" s="46">
        <f t="shared" si="7"/>
        <v>0</v>
      </c>
      <c r="J155" s="76">
        <f t="shared" si="6"/>
        <v>1.1000000000000001</v>
      </c>
      <c r="K155" s="77">
        <v>0.1</v>
      </c>
      <c r="L155" s="122">
        <v>50</v>
      </c>
      <c r="M155" s="139" t="s">
        <v>31</v>
      </c>
    </row>
    <row r="156" spans="1:13" ht="118.5" customHeight="1" x14ac:dyDescent="0.2">
      <c r="A156" s="43">
        <v>151</v>
      </c>
      <c r="B156" s="48">
        <v>12419</v>
      </c>
      <c r="C156" s="44">
        <v>405738</v>
      </c>
      <c r="D156" s="97" t="s">
        <v>185</v>
      </c>
      <c r="E156" s="45" t="s">
        <v>45</v>
      </c>
      <c r="F156" s="53">
        <v>2360</v>
      </c>
      <c r="G156" s="53" t="s">
        <v>31</v>
      </c>
      <c r="H156" s="12">
        <v>386</v>
      </c>
      <c r="I156" s="46">
        <f t="shared" si="7"/>
        <v>421.09090909090912</v>
      </c>
      <c r="J156" s="76">
        <f t="shared" si="6"/>
        <v>1.1000000000000001</v>
      </c>
      <c r="K156" s="77">
        <v>0.1</v>
      </c>
      <c r="L156" s="122">
        <v>500</v>
      </c>
      <c r="M156" s="139" t="s">
        <v>31</v>
      </c>
    </row>
    <row r="157" spans="1:13" ht="118.5" customHeight="1" x14ac:dyDescent="0.2">
      <c r="A157" s="43">
        <v>152</v>
      </c>
      <c r="B157" s="48">
        <v>12420</v>
      </c>
      <c r="C157" s="44">
        <v>405739</v>
      </c>
      <c r="D157" s="97" t="s">
        <v>186</v>
      </c>
      <c r="E157" s="45" t="s">
        <v>45</v>
      </c>
      <c r="F157" s="53">
        <v>2500</v>
      </c>
      <c r="G157" s="53" t="s">
        <v>31</v>
      </c>
      <c r="H157" s="12">
        <v>1809</v>
      </c>
      <c r="I157" s="46">
        <f t="shared" si="7"/>
        <v>1973.4545454545455</v>
      </c>
      <c r="J157" s="76">
        <f t="shared" si="6"/>
        <v>1.1000000000000001</v>
      </c>
      <c r="K157" s="77">
        <v>0.1</v>
      </c>
      <c r="L157" s="122">
        <v>2500</v>
      </c>
      <c r="M157" s="139" t="s">
        <v>31</v>
      </c>
    </row>
    <row r="158" spans="1:13" ht="118.5" customHeight="1" x14ac:dyDescent="0.2">
      <c r="A158" s="43">
        <v>153</v>
      </c>
      <c r="B158" s="48">
        <v>12421</v>
      </c>
      <c r="C158" s="44">
        <v>405740</v>
      </c>
      <c r="D158" s="97" t="s">
        <v>187</v>
      </c>
      <c r="E158" s="45" t="s">
        <v>45</v>
      </c>
      <c r="F158" s="53">
        <v>1832</v>
      </c>
      <c r="G158" s="53" t="s">
        <v>31</v>
      </c>
      <c r="H158" s="12">
        <v>311</v>
      </c>
      <c r="I158" s="46">
        <f t="shared" si="7"/>
        <v>339.27272727272725</v>
      </c>
      <c r="J158" s="76">
        <f t="shared" si="6"/>
        <v>1.1000000000000001</v>
      </c>
      <c r="K158" s="77">
        <v>0.1</v>
      </c>
      <c r="L158" s="46">
        <v>400</v>
      </c>
      <c r="M158" s="139" t="s">
        <v>31</v>
      </c>
    </row>
    <row r="159" spans="1:13" s="92" customFormat="1" ht="118.5" customHeight="1" x14ac:dyDescent="0.2">
      <c r="A159" s="43">
        <v>154</v>
      </c>
      <c r="B159" s="125">
        <v>12571</v>
      </c>
      <c r="C159" s="125">
        <v>444151</v>
      </c>
      <c r="D159" s="126" t="s">
        <v>321</v>
      </c>
      <c r="E159" s="127" t="s">
        <v>51</v>
      </c>
      <c r="F159" s="53" t="s">
        <v>928</v>
      </c>
      <c r="G159" s="53" t="s">
        <v>31</v>
      </c>
      <c r="H159" s="53"/>
      <c r="I159" s="46">
        <f t="shared" si="7"/>
        <v>0</v>
      </c>
      <c r="J159" s="123">
        <f t="shared" si="6"/>
        <v>1.1000000000000001</v>
      </c>
      <c r="K159" s="124">
        <v>0.1</v>
      </c>
      <c r="L159" s="122">
        <v>240</v>
      </c>
      <c r="M159" s="139" t="s">
        <v>31</v>
      </c>
    </row>
    <row r="160" spans="1:13" ht="118.5" customHeight="1" x14ac:dyDescent="0.2">
      <c r="A160" s="43">
        <v>155</v>
      </c>
      <c r="B160" s="48">
        <v>12423</v>
      </c>
      <c r="C160" s="48" t="s">
        <v>31</v>
      </c>
      <c r="D160" s="99" t="s">
        <v>188</v>
      </c>
      <c r="E160" s="45" t="s">
        <v>45</v>
      </c>
      <c r="F160" s="53">
        <v>2000</v>
      </c>
      <c r="G160" s="53" t="s">
        <v>31</v>
      </c>
      <c r="H160" s="12">
        <v>2386</v>
      </c>
      <c r="I160" s="46">
        <f t="shared" si="7"/>
        <v>2602.909090909091</v>
      </c>
      <c r="J160" s="76">
        <f t="shared" si="6"/>
        <v>1.1000000000000001</v>
      </c>
      <c r="K160" s="77">
        <v>0.1</v>
      </c>
      <c r="L160" s="46">
        <f t="shared" si="8"/>
        <v>2863</v>
      </c>
      <c r="M160" s="139" t="s">
        <v>31</v>
      </c>
    </row>
    <row r="161" spans="1:13" ht="118.5" customHeight="1" x14ac:dyDescent="0.2">
      <c r="A161" s="43">
        <v>156</v>
      </c>
      <c r="B161" s="48">
        <v>12424</v>
      </c>
      <c r="C161" s="44" t="s">
        <v>31</v>
      </c>
      <c r="D161" s="101" t="s">
        <v>189</v>
      </c>
      <c r="E161" s="45" t="s">
        <v>45</v>
      </c>
      <c r="F161" s="53">
        <v>56400</v>
      </c>
      <c r="G161" s="53" t="s">
        <v>31</v>
      </c>
      <c r="H161" s="12">
        <v>34023</v>
      </c>
      <c r="I161" s="46">
        <f t="shared" si="7"/>
        <v>37116</v>
      </c>
      <c r="J161" s="76">
        <f t="shared" si="6"/>
        <v>1.1000000000000001</v>
      </c>
      <c r="K161" s="77">
        <v>0.1</v>
      </c>
      <c r="L161" s="46">
        <v>40900</v>
      </c>
      <c r="M161" s="139" t="s">
        <v>31</v>
      </c>
    </row>
    <row r="162" spans="1:13" ht="118.5" customHeight="1" x14ac:dyDescent="0.2">
      <c r="A162" s="43">
        <v>157</v>
      </c>
      <c r="B162" s="48">
        <v>12425</v>
      </c>
      <c r="C162" s="44">
        <v>481791</v>
      </c>
      <c r="D162" s="97" t="s">
        <v>190</v>
      </c>
      <c r="E162" s="45" t="s">
        <v>60</v>
      </c>
      <c r="F162" s="53">
        <v>1200</v>
      </c>
      <c r="G162" s="53" t="s">
        <v>31</v>
      </c>
      <c r="H162" s="12">
        <v>578</v>
      </c>
      <c r="I162" s="46">
        <f t="shared" si="7"/>
        <v>630.5454545454545</v>
      </c>
      <c r="J162" s="76">
        <f t="shared" si="6"/>
        <v>1.1000000000000001</v>
      </c>
      <c r="K162" s="77">
        <v>0.1</v>
      </c>
      <c r="L162" s="46">
        <v>770</v>
      </c>
      <c r="M162" s="139" t="s">
        <v>31</v>
      </c>
    </row>
    <row r="163" spans="1:13" ht="114.75" x14ac:dyDescent="0.2">
      <c r="A163" s="43">
        <v>158</v>
      </c>
      <c r="B163" s="48">
        <v>12426</v>
      </c>
      <c r="C163" s="44">
        <v>299240</v>
      </c>
      <c r="D163" s="99" t="s">
        <v>191</v>
      </c>
      <c r="E163" s="47" t="s">
        <v>46</v>
      </c>
      <c r="F163" s="53">
        <v>200</v>
      </c>
      <c r="G163" s="53" t="s">
        <v>31</v>
      </c>
      <c r="H163" s="12">
        <v>142</v>
      </c>
      <c r="I163" s="46">
        <f t="shared" si="7"/>
        <v>154.90909090909091</v>
      </c>
      <c r="J163" s="76">
        <f t="shared" si="6"/>
        <v>1.1000000000000001</v>
      </c>
      <c r="K163" s="77">
        <v>0.1</v>
      </c>
      <c r="L163" s="46">
        <f t="shared" si="8"/>
        <v>170</v>
      </c>
      <c r="M163" s="139" t="s">
        <v>31</v>
      </c>
    </row>
    <row r="164" spans="1:13" ht="114.75" x14ac:dyDescent="0.2">
      <c r="A164" s="43">
        <v>159</v>
      </c>
      <c r="B164" s="48">
        <v>12427</v>
      </c>
      <c r="C164" s="44">
        <v>242918</v>
      </c>
      <c r="D164" s="99" t="s">
        <v>192</v>
      </c>
      <c r="E164" s="47" t="s">
        <v>46</v>
      </c>
      <c r="F164" s="53">
        <v>40</v>
      </c>
      <c r="G164" s="53" t="s">
        <v>31</v>
      </c>
      <c r="H164" s="12">
        <v>36</v>
      </c>
      <c r="I164" s="46">
        <f t="shared" si="7"/>
        <v>39.272727272727273</v>
      </c>
      <c r="J164" s="76">
        <f t="shared" ref="J164:J226" si="9">1+K164</f>
        <v>1.1000000000000001</v>
      </c>
      <c r="K164" s="77">
        <v>0.1</v>
      </c>
      <c r="L164" s="46">
        <f t="shared" si="8"/>
        <v>43</v>
      </c>
      <c r="M164" s="139" t="s">
        <v>31</v>
      </c>
    </row>
    <row r="165" spans="1:13" ht="118.5" customHeight="1" x14ac:dyDescent="0.2">
      <c r="A165" s="43">
        <v>160</v>
      </c>
      <c r="B165" s="48">
        <v>12428</v>
      </c>
      <c r="C165" s="44">
        <v>409705</v>
      </c>
      <c r="D165" s="97" t="s">
        <v>193</v>
      </c>
      <c r="E165" s="45" t="s">
        <v>46</v>
      </c>
      <c r="F165" s="53">
        <v>25</v>
      </c>
      <c r="G165" s="53" t="s">
        <v>31</v>
      </c>
      <c r="H165" s="12"/>
      <c r="I165" s="46">
        <f t="shared" si="7"/>
        <v>0</v>
      </c>
      <c r="J165" s="76">
        <f t="shared" si="9"/>
        <v>1.1000000000000001</v>
      </c>
      <c r="K165" s="77">
        <v>0.1</v>
      </c>
      <c r="L165" s="122">
        <v>25</v>
      </c>
      <c r="M165" s="139" t="s">
        <v>31</v>
      </c>
    </row>
    <row r="166" spans="1:13" ht="236.25" customHeight="1" x14ac:dyDescent="0.2">
      <c r="A166" s="43">
        <v>161</v>
      </c>
      <c r="B166" s="48">
        <v>12573</v>
      </c>
      <c r="C166" s="44">
        <v>269839</v>
      </c>
      <c r="D166" s="99" t="s">
        <v>194</v>
      </c>
      <c r="E166" s="45" t="s">
        <v>50</v>
      </c>
      <c r="F166" s="53">
        <v>15000</v>
      </c>
      <c r="G166" s="53" t="s">
        <v>31</v>
      </c>
      <c r="H166" s="12">
        <v>2616</v>
      </c>
      <c r="I166" s="46">
        <f t="shared" si="7"/>
        <v>2853.818181818182</v>
      </c>
      <c r="J166" s="76">
        <f t="shared" si="9"/>
        <v>1.1000000000000001</v>
      </c>
      <c r="K166" s="77">
        <v>0.1</v>
      </c>
      <c r="L166" s="46">
        <v>8000</v>
      </c>
      <c r="M166" s="139" t="s">
        <v>31</v>
      </c>
    </row>
    <row r="167" spans="1:13" ht="204" x14ac:dyDescent="0.2">
      <c r="A167" s="43">
        <v>162</v>
      </c>
      <c r="B167" s="48">
        <v>12429</v>
      </c>
      <c r="C167" s="44">
        <v>269838</v>
      </c>
      <c r="D167" s="97" t="s">
        <v>195</v>
      </c>
      <c r="E167" s="45" t="s">
        <v>50</v>
      </c>
      <c r="F167" s="53">
        <v>15000</v>
      </c>
      <c r="G167" s="53" t="s">
        <v>31</v>
      </c>
      <c r="H167" s="12">
        <v>8279</v>
      </c>
      <c r="I167" s="46">
        <f t="shared" si="7"/>
        <v>9031.636363636364</v>
      </c>
      <c r="J167" s="76">
        <f t="shared" si="9"/>
        <v>1.1000000000000001</v>
      </c>
      <c r="K167" s="77">
        <v>0.1</v>
      </c>
      <c r="L167" s="122">
        <v>15000</v>
      </c>
      <c r="M167" s="139" t="s">
        <v>31</v>
      </c>
    </row>
    <row r="168" spans="1:13" ht="204" x14ac:dyDescent="0.2">
      <c r="A168" s="43">
        <v>163</v>
      </c>
      <c r="B168" s="48">
        <v>12430</v>
      </c>
      <c r="C168" s="44">
        <v>269837</v>
      </c>
      <c r="D168" s="97" t="s">
        <v>196</v>
      </c>
      <c r="E168" s="45" t="s">
        <v>50</v>
      </c>
      <c r="F168" s="53">
        <v>10000</v>
      </c>
      <c r="G168" s="53" t="s">
        <v>31</v>
      </c>
      <c r="H168" s="12">
        <v>3206</v>
      </c>
      <c r="I168" s="46">
        <f t="shared" si="7"/>
        <v>3497.454545454545</v>
      </c>
      <c r="J168" s="76">
        <f t="shared" si="9"/>
        <v>1.1000000000000001</v>
      </c>
      <c r="K168" s="77">
        <v>0.1</v>
      </c>
      <c r="L168" s="46">
        <v>3850</v>
      </c>
      <c r="M168" s="139" t="s">
        <v>31</v>
      </c>
    </row>
    <row r="169" spans="1:13" ht="204" x14ac:dyDescent="0.2">
      <c r="A169" s="43">
        <v>164</v>
      </c>
      <c r="B169" s="48">
        <v>12431</v>
      </c>
      <c r="C169" s="44">
        <v>269947</v>
      </c>
      <c r="D169" s="97" t="s">
        <v>197</v>
      </c>
      <c r="E169" s="45" t="s">
        <v>50</v>
      </c>
      <c r="F169" s="53">
        <v>3000</v>
      </c>
      <c r="G169" s="53" t="s">
        <v>31</v>
      </c>
      <c r="H169" s="12">
        <v>763</v>
      </c>
      <c r="I169" s="46">
        <f t="shared" si="7"/>
        <v>832.36363636363626</v>
      </c>
      <c r="J169" s="76">
        <f t="shared" si="9"/>
        <v>1.1000000000000001</v>
      </c>
      <c r="K169" s="77">
        <v>0.1</v>
      </c>
      <c r="L169" s="46">
        <v>1000</v>
      </c>
      <c r="M169" s="139" t="s">
        <v>31</v>
      </c>
    </row>
    <row r="170" spans="1:13" s="92" customFormat="1" ht="171" customHeight="1" x14ac:dyDescent="0.2">
      <c r="A170" s="43">
        <v>165</v>
      </c>
      <c r="B170" s="48">
        <v>16339</v>
      </c>
      <c r="C170" s="48">
        <v>269894</v>
      </c>
      <c r="D170" s="99" t="s">
        <v>742</v>
      </c>
      <c r="E170" s="47" t="s">
        <v>46</v>
      </c>
      <c r="F170" s="53">
        <v>1958</v>
      </c>
      <c r="G170" s="53" t="s">
        <v>31</v>
      </c>
      <c r="H170" s="53">
        <v>1282</v>
      </c>
      <c r="I170" s="46">
        <f t="shared" si="7"/>
        <v>1398.5454545454545</v>
      </c>
      <c r="J170" s="123">
        <f t="shared" si="9"/>
        <v>1.1000000000000001</v>
      </c>
      <c r="K170" s="124">
        <v>0.1</v>
      </c>
      <c r="L170" s="122">
        <v>2000</v>
      </c>
      <c r="M170" s="139" t="s">
        <v>31</v>
      </c>
    </row>
    <row r="171" spans="1:13" s="92" customFormat="1" ht="171" customHeight="1" x14ac:dyDescent="0.2">
      <c r="A171" s="43">
        <v>166</v>
      </c>
      <c r="B171" s="48">
        <v>16340</v>
      </c>
      <c r="C171" s="48">
        <v>269893</v>
      </c>
      <c r="D171" s="99" t="s">
        <v>743</v>
      </c>
      <c r="E171" s="47" t="s">
        <v>46</v>
      </c>
      <c r="F171" s="53">
        <v>1549</v>
      </c>
      <c r="G171" s="53" t="s">
        <v>31</v>
      </c>
      <c r="H171" s="53">
        <v>1594</v>
      </c>
      <c r="I171" s="46">
        <f t="shared" si="7"/>
        <v>1738.909090909091</v>
      </c>
      <c r="J171" s="123">
        <f t="shared" si="9"/>
        <v>1.1000000000000001</v>
      </c>
      <c r="K171" s="124">
        <v>0.1</v>
      </c>
      <c r="L171" s="46">
        <f t="shared" si="8"/>
        <v>1913</v>
      </c>
      <c r="M171" s="139" t="s">
        <v>31</v>
      </c>
    </row>
    <row r="172" spans="1:13" s="92" customFormat="1" ht="149.25" customHeight="1" x14ac:dyDescent="0.2">
      <c r="A172" s="43">
        <v>167</v>
      </c>
      <c r="B172" s="48">
        <v>16341</v>
      </c>
      <c r="C172" s="48">
        <v>269892</v>
      </c>
      <c r="D172" s="99" t="s">
        <v>744</v>
      </c>
      <c r="E172" s="47" t="s">
        <v>46</v>
      </c>
      <c r="F172" s="53">
        <v>358</v>
      </c>
      <c r="G172" s="53" t="s">
        <v>31</v>
      </c>
      <c r="H172" s="53">
        <v>583</v>
      </c>
      <c r="I172" s="46">
        <f t="shared" si="7"/>
        <v>636</v>
      </c>
      <c r="J172" s="123">
        <f t="shared" si="9"/>
        <v>1.1000000000000001</v>
      </c>
      <c r="K172" s="124">
        <v>0.1</v>
      </c>
      <c r="L172" s="46">
        <f t="shared" si="8"/>
        <v>700</v>
      </c>
      <c r="M172" s="139" t="s">
        <v>31</v>
      </c>
    </row>
    <row r="173" spans="1:13" ht="118.5" customHeight="1" x14ac:dyDescent="0.2">
      <c r="A173" s="43">
        <v>168</v>
      </c>
      <c r="B173" s="48">
        <v>12435</v>
      </c>
      <c r="C173" s="44" t="s">
        <v>31</v>
      </c>
      <c r="D173" s="97" t="s">
        <v>198</v>
      </c>
      <c r="E173" s="45" t="s">
        <v>45</v>
      </c>
      <c r="F173" s="53">
        <v>3</v>
      </c>
      <c r="G173" s="53" t="s">
        <v>31</v>
      </c>
      <c r="H173" s="53">
        <v>0</v>
      </c>
      <c r="I173" s="46">
        <f t="shared" si="7"/>
        <v>0</v>
      </c>
      <c r="J173" s="123">
        <f t="shared" si="9"/>
        <v>1.1000000000000001</v>
      </c>
      <c r="K173" s="124">
        <v>0.1</v>
      </c>
      <c r="L173" s="46">
        <v>3</v>
      </c>
      <c r="M173" s="139" t="s">
        <v>31</v>
      </c>
    </row>
    <row r="174" spans="1:13" ht="90" customHeight="1" x14ac:dyDescent="0.2">
      <c r="A174" s="43">
        <v>169</v>
      </c>
      <c r="B174" s="48">
        <v>12434</v>
      </c>
      <c r="C174" s="44">
        <v>468644</v>
      </c>
      <c r="D174" s="97" t="s">
        <v>199</v>
      </c>
      <c r="E174" s="45" t="s">
        <v>45</v>
      </c>
      <c r="F174" s="53">
        <v>8</v>
      </c>
      <c r="G174" s="53" t="s">
        <v>31</v>
      </c>
      <c r="H174" s="12">
        <v>5</v>
      </c>
      <c r="I174" s="46">
        <f t="shared" si="7"/>
        <v>5.4545454545454541</v>
      </c>
      <c r="J174" s="76">
        <f t="shared" si="9"/>
        <v>1.1000000000000001</v>
      </c>
      <c r="K174" s="77">
        <v>0.1</v>
      </c>
      <c r="L174" s="46">
        <f t="shared" si="8"/>
        <v>6</v>
      </c>
      <c r="M174" s="139" t="s">
        <v>31</v>
      </c>
    </row>
    <row r="175" spans="1:13" ht="118.5" customHeight="1" x14ac:dyDescent="0.2">
      <c r="A175" s="43">
        <v>170</v>
      </c>
      <c r="B175" s="48">
        <v>12437</v>
      </c>
      <c r="C175" s="44">
        <v>455228</v>
      </c>
      <c r="D175" s="97" t="s">
        <v>200</v>
      </c>
      <c r="E175" s="45" t="s">
        <v>46</v>
      </c>
      <c r="F175" s="53">
        <v>1000</v>
      </c>
      <c r="G175" s="53" t="s">
        <v>31</v>
      </c>
      <c r="H175" s="12">
        <v>1101</v>
      </c>
      <c r="I175" s="46">
        <f t="shared" si="7"/>
        <v>1201.090909090909</v>
      </c>
      <c r="J175" s="76">
        <f t="shared" si="9"/>
        <v>1.1000000000000001</v>
      </c>
      <c r="K175" s="77">
        <v>0.1</v>
      </c>
      <c r="L175" s="46">
        <f t="shared" si="8"/>
        <v>1321</v>
      </c>
      <c r="M175" s="139" t="s">
        <v>31</v>
      </c>
    </row>
    <row r="176" spans="1:13" s="92" customFormat="1" ht="118.5" customHeight="1" x14ac:dyDescent="0.2">
      <c r="A176" s="43">
        <v>171</v>
      </c>
      <c r="B176" s="48">
        <v>12438</v>
      </c>
      <c r="C176" s="48" t="s">
        <v>31</v>
      </c>
      <c r="D176" s="99" t="s">
        <v>201</v>
      </c>
      <c r="E176" s="47" t="s">
        <v>45</v>
      </c>
      <c r="F176" s="53">
        <v>3750</v>
      </c>
      <c r="G176" s="53" t="s">
        <v>31</v>
      </c>
      <c r="H176" s="53">
        <v>35</v>
      </c>
      <c r="I176" s="46">
        <f t="shared" si="7"/>
        <v>38.18181818181818</v>
      </c>
      <c r="J176" s="123">
        <f t="shared" si="9"/>
        <v>1.1000000000000001</v>
      </c>
      <c r="K176" s="124">
        <v>0.1</v>
      </c>
      <c r="L176" s="122">
        <v>1000</v>
      </c>
      <c r="M176" s="139" t="s">
        <v>31</v>
      </c>
    </row>
    <row r="177" spans="1:13" ht="118.5" customHeight="1" x14ac:dyDescent="0.2">
      <c r="A177" s="43">
        <v>172</v>
      </c>
      <c r="B177" s="48">
        <v>12439</v>
      </c>
      <c r="C177" s="44">
        <v>445962</v>
      </c>
      <c r="D177" s="97" t="s">
        <v>202</v>
      </c>
      <c r="E177" s="45" t="s">
        <v>60</v>
      </c>
      <c r="F177" s="53">
        <v>100</v>
      </c>
      <c r="G177" s="53" t="s">
        <v>31</v>
      </c>
      <c r="H177" s="12">
        <v>28</v>
      </c>
      <c r="I177" s="46">
        <f t="shared" si="7"/>
        <v>30.545454545454547</v>
      </c>
      <c r="J177" s="76">
        <f t="shared" si="9"/>
        <v>1.1000000000000001</v>
      </c>
      <c r="K177" s="77">
        <v>0.1</v>
      </c>
      <c r="L177" s="122">
        <v>50</v>
      </c>
      <c r="M177" s="139" t="s">
        <v>31</v>
      </c>
    </row>
    <row r="178" spans="1:13" ht="118.5" customHeight="1" x14ac:dyDescent="0.2">
      <c r="A178" s="43">
        <v>173</v>
      </c>
      <c r="B178" s="48">
        <v>12440</v>
      </c>
      <c r="C178" s="44">
        <v>445963</v>
      </c>
      <c r="D178" s="97" t="s">
        <v>203</v>
      </c>
      <c r="E178" s="45" t="s">
        <v>60</v>
      </c>
      <c r="F178" s="53">
        <v>100</v>
      </c>
      <c r="G178" s="53" t="s">
        <v>31</v>
      </c>
      <c r="H178" s="12">
        <v>26</v>
      </c>
      <c r="I178" s="46">
        <f t="shared" si="7"/>
        <v>28.363636363636367</v>
      </c>
      <c r="J178" s="76">
        <f t="shared" si="9"/>
        <v>1.1000000000000001</v>
      </c>
      <c r="K178" s="77">
        <v>0.1</v>
      </c>
      <c r="L178" s="122">
        <v>50</v>
      </c>
      <c r="M178" s="139" t="s">
        <v>31</v>
      </c>
    </row>
    <row r="179" spans="1:13" ht="118.5" customHeight="1" x14ac:dyDescent="0.2">
      <c r="A179" s="43">
        <v>174</v>
      </c>
      <c r="B179" s="48">
        <v>12441</v>
      </c>
      <c r="C179" s="44">
        <v>445965</v>
      </c>
      <c r="D179" s="97" t="s">
        <v>204</v>
      </c>
      <c r="E179" s="45" t="s">
        <v>60</v>
      </c>
      <c r="F179" s="53">
        <v>100</v>
      </c>
      <c r="G179" s="53" t="s">
        <v>31</v>
      </c>
      <c r="H179" s="12">
        <v>35</v>
      </c>
      <c r="I179" s="46">
        <f t="shared" si="7"/>
        <v>38.18181818181818</v>
      </c>
      <c r="J179" s="76">
        <f t="shared" si="9"/>
        <v>1.1000000000000001</v>
      </c>
      <c r="K179" s="77">
        <v>0.1</v>
      </c>
      <c r="L179" s="122">
        <v>50</v>
      </c>
      <c r="M179" s="139" t="s">
        <v>31</v>
      </c>
    </row>
    <row r="180" spans="1:13" ht="118.5" customHeight="1" x14ac:dyDescent="0.2">
      <c r="A180" s="43">
        <v>175</v>
      </c>
      <c r="B180" s="48">
        <v>12442</v>
      </c>
      <c r="C180" s="44">
        <v>445969</v>
      </c>
      <c r="D180" s="97" t="s">
        <v>205</v>
      </c>
      <c r="E180" s="45" t="s">
        <v>60</v>
      </c>
      <c r="F180" s="53">
        <v>74</v>
      </c>
      <c r="G180" s="53" t="s">
        <v>31</v>
      </c>
      <c r="H180" s="12">
        <v>21</v>
      </c>
      <c r="I180" s="46">
        <f t="shared" si="7"/>
        <v>22.90909090909091</v>
      </c>
      <c r="J180" s="76">
        <f t="shared" si="9"/>
        <v>1.1000000000000001</v>
      </c>
      <c r="K180" s="77">
        <v>0.1</v>
      </c>
      <c r="L180" s="122">
        <v>50</v>
      </c>
      <c r="M180" s="139" t="s">
        <v>31</v>
      </c>
    </row>
    <row r="181" spans="1:13" ht="118.5" customHeight="1" x14ac:dyDescent="0.2">
      <c r="A181" s="43">
        <v>176</v>
      </c>
      <c r="B181" s="48">
        <v>12443</v>
      </c>
      <c r="C181" s="44">
        <v>470275</v>
      </c>
      <c r="D181" s="97" t="s">
        <v>206</v>
      </c>
      <c r="E181" s="45" t="s">
        <v>45</v>
      </c>
      <c r="F181" s="53">
        <v>100</v>
      </c>
      <c r="G181" s="53" t="s">
        <v>31</v>
      </c>
      <c r="H181" s="12">
        <v>58</v>
      </c>
      <c r="I181" s="46">
        <f t="shared" si="7"/>
        <v>63.272727272727266</v>
      </c>
      <c r="J181" s="76">
        <f t="shared" si="9"/>
        <v>1.1000000000000001</v>
      </c>
      <c r="K181" s="77">
        <v>0.1</v>
      </c>
      <c r="L181" s="46">
        <f t="shared" si="8"/>
        <v>70</v>
      </c>
      <c r="M181" s="139" t="s">
        <v>31</v>
      </c>
    </row>
    <row r="182" spans="1:13" ht="144" customHeight="1" x14ac:dyDescent="0.2">
      <c r="A182" s="43">
        <v>177</v>
      </c>
      <c r="B182" s="48">
        <v>12444</v>
      </c>
      <c r="C182" s="48" t="s">
        <v>31</v>
      </c>
      <c r="D182" s="99" t="s">
        <v>207</v>
      </c>
      <c r="E182" s="47" t="s">
        <v>45</v>
      </c>
      <c r="F182" s="53">
        <v>50</v>
      </c>
      <c r="G182" s="53" t="s">
        <v>31</v>
      </c>
      <c r="H182" s="12">
        <v>45</v>
      </c>
      <c r="I182" s="46">
        <f t="shared" si="7"/>
        <v>49.090909090909093</v>
      </c>
      <c r="J182" s="76">
        <f t="shared" si="9"/>
        <v>1.1000000000000001</v>
      </c>
      <c r="K182" s="77">
        <v>0.1</v>
      </c>
      <c r="L182" s="46">
        <f t="shared" si="8"/>
        <v>54</v>
      </c>
      <c r="M182" s="139" t="s">
        <v>31</v>
      </c>
    </row>
    <row r="183" spans="1:13" ht="152.25" customHeight="1" x14ac:dyDescent="0.2">
      <c r="A183" s="43">
        <v>178</v>
      </c>
      <c r="B183" s="48">
        <v>12445</v>
      </c>
      <c r="C183" s="48" t="s">
        <v>31</v>
      </c>
      <c r="D183" s="99" t="s">
        <v>208</v>
      </c>
      <c r="E183" s="47" t="s">
        <v>45</v>
      </c>
      <c r="F183" s="53">
        <v>50</v>
      </c>
      <c r="G183" s="53" t="s">
        <v>31</v>
      </c>
      <c r="H183" s="12">
        <v>30</v>
      </c>
      <c r="I183" s="46">
        <f t="shared" si="7"/>
        <v>32.727272727272727</v>
      </c>
      <c r="J183" s="76">
        <f t="shared" si="9"/>
        <v>1.1000000000000001</v>
      </c>
      <c r="K183" s="77">
        <v>0.1</v>
      </c>
      <c r="L183" s="46">
        <f t="shared" si="8"/>
        <v>36</v>
      </c>
      <c r="M183" s="139" t="s">
        <v>31</v>
      </c>
    </row>
    <row r="184" spans="1:13" ht="118.5" customHeight="1" x14ac:dyDescent="0.2">
      <c r="A184" s="43">
        <v>179</v>
      </c>
      <c r="B184" s="48">
        <v>12446</v>
      </c>
      <c r="C184" s="44" t="s">
        <v>31</v>
      </c>
      <c r="D184" s="100" t="s">
        <v>209</v>
      </c>
      <c r="E184" s="45" t="s">
        <v>45</v>
      </c>
      <c r="F184" s="53">
        <v>100</v>
      </c>
      <c r="G184" s="53" t="s">
        <v>31</v>
      </c>
      <c r="H184" s="12">
        <v>1</v>
      </c>
      <c r="I184" s="46">
        <f t="shared" si="7"/>
        <v>1.0909090909090908</v>
      </c>
      <c r="J184" s="76">
        <f t="shared" si="9"/>
        <v>1.1000000000000001</v>
      </c>
      <c r="K184" s="77">
        <v>0.1</v>
      </c>
      <c r="L184" s="122">
        <v>20</v>
      </c>
      <c r="M184" s="139" t="s">
        <v>31</v>
      </c>
    </row>
    <row r="185" spans="1:13" ht="118.5" customHeight="1" x14ac:dyDescent="0.2">
      <c r="A185" s="43">
        <v>180</v>
      </c>
      <c r="B185" s="48">
        <v>12447</v>
      </c>
      <c r="C185" s="44">
        <v>221035</v>
      </c>
      <c r="D185" s="101" t="s">
        <v>210</v>
      </c>
      <c r="E185" s="45" t="s">
        <v>45</v>
      </c>
      <c r="F185" s="53">
        <v>50</v>
      </c>
      <c r="G185" s="53" t="s">
        <v>31</v>
      </c>
      <c r="H185" s="12">
        <v>0</v>
      </c>
      <c r="I185" s="46">
        <f t="shared" si="7"/>
        <v>0</v>
      </c>
      <c r="J185" s="76">
        <f t="shared" si="9"/>
        <v>1.1000000000000001</v>
      </c>
      <c r="K185" s="77">
        <v>0.1</v>
      </c>
      <c r="L185" s="122">
        <v>10</v>
      </c>
      <c r="M185" s="139" t="s">
        <v>31</v>
      </c>
    </row>
    <row r="186" spans="1:13" ht="118.5" customHeight="1" x14ac:dyDescent="0.2">
      <c r="A186" s="43">
        <v>181</v>
      </c>
      <c r="B186" s="48">
        <v>12448</v>
      </c>
      <c r="C186" s="44">
        <v>221037</v>
      </c>
      <c r="D186" s="101" t="s">
        <v>211</v>
      </c>
      <c r="E186" s="45" t="s">
        <v>45</v>
      </c>
      <c r="F186" s="53">
        <v>50</v>
      </c>
      <c r="G186" s="53" t="s">
        <v>31</v>
      </c>
      <c r="H186" s="12">
        <v>0</v>
      </c>
      <c r="I186" s="46">
        <f t="shared" si="7"/>
        <v>0</v>
      </c>
      <c r="J186" s="76">
        <f t="shared" si="9"/>
        <v>1.1000000000000001</v>
      </c>
      <c r="K186" s="77">
        <v>0.1</v>
      </c>
      <c r="L186" s="122">
        <v>10</v>
      </c>
      <c r="M186" s="139" t="s">
        <v>31</v>
      </c>
    </row>
    <row r="187" spans="1:13" ht="118.5" customHeight="1" x14ac:dyDescent="0.2">
      <c r="A187" s="43">
        <v>182</v>
      </c>
      <c r="B187" s="48">
        <v>12449</v>
      </c>
      <c r="C187" s="44" t="s">
        <v>31</v>
      </c>
      <c r="D187" s="101" t="s">
        <v>212</v>
      </c>
      <c r="E187" s="45" t="s">
        <v>45</v>
      </c>
      <c r="F187" s="53">
        <v>50</v>
      </c>
      <c r="G187" s="53" t="s">
        <v>31</v>
      </c>
      <c r="H187" s="12">
        <v>0</v>
      </c>
      <c r="I187" s="46">
        <f t="shared" si="7"/>
        <v>0</v>
      </c>
      <c r="J187" s="76">
        <f t="shared" si="9"/>
        <v>1.1000000000000001</v>
      </c>
      <c r="K187" s="77">
        <v>0.1</v>
      </c>
      <c r="L187" s="122">
        <v>10</v>
      </c>
      <c r="M187" s="139" t="s">
        <v>31</v>
      </c>
    </row>
    <row r="188" spans="1:13" ht="118.5" customHeight="1" x14ac:dyDescent="0.2">
      <c r="A188" s="43">
        <v>183</v>
      </c>
      <c r="B188" s="48">
        <v>12450</v>
      </c>
      <c r="C188" s="44">
        <v>403572</v>
      </c>
      <c r="D188" s="97" t="s">
        <v>213</v>
      </c>
      <c r="E188" s="45" t="s">
        <v>45</v>
      </c>
      <c r="F188" s="53">
        <v>3</v>
      </c>
      <c r="G188" s="53" t="s">
        <v>31</v>
      </c>
      <c r="H188" s="12">
        <v>0</v>
      </c>
      <c r="I188" s="46">
        <f t="shared" si="7"/>
        <v>0</v>
      </c>
      <c r="J188" s="76">
        <f t="shared" si="9"/>
        <v>1.1000000000000001</v>
      </c>
      <c r="K188" s="77">
        <v>0.1</v>
      </c>
      <c r="L188" s="122">
        <v>3</v>
      </c>
      <c r="M188" s="139" t="s">
        <v>31</v>
      </c>
    </row>
    <row r="189" spans="1:13" ht="118.5" customHeight="1" x14ac:dyDescent="0.2">
      <c r="A189" s="43">
        <v>184</v>
      </c>
      <c r="B189" s="48">
        <v>12451</v>
      </c>
      <c r="C189" s="48">
        <v>411867</v>
      </c>
      <c r="D189" s="99" t="s">
        <v>214</v>
      </c>
      <c r="E189" s="45" t="s">
        <v>45</v>
      </c>
      <c r="F189" s="53">
        <v>5</v>
      </c>
      <c r="G189" s="53" t="s">
        <v>31</v>
      </c>
      <c r="H189" s="12">
        <v>0</v>
      </c>
      <c r="I189" s="46">
        <f t="shared" si="7"/>
        <v>0</v>
      </c>
      <c r="J189" s="76">
        <f t="shared" si="9"/>
        <v>1.1000000000000001</v>
      </c>
      <c r="K189" s="77">
        <v>0.1</v>
      </c>
      <c r="L189" s="122">
        <v>3</v>
      </c>
      <c r="M189" s="139" t="s">
        <v>31</v>
      </c>
    </row>
    <row r="190" spans="1:13" ht="118.5" customHeight="1" x14ac:dyDescent="0.2">
      <c r="A190" s="43">
        <v>185</v>
      </c>
      <c r="B190" s="48">
        <v>12452</v>
      </c>
      <c r="C190" s="44">
        <v>244064</v>
      </c>
      <c r="D190" s="99" t="s">
        <v>215</v>
      </c>
      <c r="E190" s="47" t="s">
        <v>45</v>
      </c>
      <c r="F190" s="53">
        <v>100</v>
      </c>
      <c r="G190" s="53" t="s">
        <v>31</v>
      </c>
      <c r="H190" s="12">
        <v>1</v>
      </c>
      <c r="I190" s="46">
        <f t="shared" si="7"/>
        <v>1.0909090909090908</v>
      </c>
      <c r="J190" s="76">
        <f t="shared" si="9"/>
        <v>1.1000000000000001</v>
      </c>
      <c r="K190" s="77">
        <v>0.1</v>
      </c>
      <c r="L190" s="122">
        <v>10</v>
      </c>
      <c r="M190" s="139" t="s">
        <v>31</v>
      </c>
    </row>
    <row r="191" spans="1:13" ht="118.5" customHeight="1" x14ac:dyDescent="0.2">
      <c r="A191" s="43">
        <v>186</v>
      </c>
      <c r="B191" s="48">
        <v>12453</v>
      </c>
      <c r="C191" s="48">
        <v>150685</v>
      </c>
      <c r="D191" s="99" t="s">
        <v>216</v>
      </c>
      <c r="E191" s="47" t="s">
        <v>45</v>
      </c>
      <c r="F191" s="53">
        <v>15</v>
      </c>
      <c r="G191" s="53" t="s">
        <v>31</v>
      </c>
      <c r="H191" s="12">
        <v>23</v>
      </c>
      <c r="I191" s="46">
        <f t="shared" si="7"/>
        <v>25.09090909090909</v>
      </c>
      <c r="J191" s="76">
        <f t="shared" si="9"/>
        <v>1.1000000000000001</v>
      </c>
      <c r="K191" s="77">
        <v>0.1</v>
      </c>
      <c r="L191" s="122">
        <v>30</v>
      </c>
      <c r="M191" s="139" t="s">
        <v>31</v>
      </c>
    </row>
    <row r="192" spans="1:13" ht="118.5" customHeight="1" x14ac:dyDescent="0.2">
      <c r="A192" s="43">
        <v>187</v>
      </c>
      <c r="B192" s="48">
        <v>12454</v>
      </c>
      <c r="C192" s="44">
        <v>224806</v>
      </c>
      <c r="D192" s="101" t="s">
        <v>217</v>
      </c>
      <c r="E192" s="45" t="s">
        <v>45</v>
      </c>
      <c r="F192" s="53">
        <v>50</v>
      </c>
      <c r="G192" s="53" t="s">
        <v>31</v>
      </c>
      <c r="H192" s="12">
        <v>0</v>
      </c>
      <c r="I192" s="46">
        <f t="shared" si="7"/>
        <v>0</v>
      </c>
      <c r="J192" s="76">
        <f t="shared" si="9"/>
        <v>1.1000000000000001</v>
      </c>
      <c r="K192" s="77">
        <v>0.1</v>
      </c>
      <c r="L192" s="122">
        <v>20</v>
      </c>
      <c r="M192" s="139" t="s">
        <v>31</v>
      </c>
    </row>
    <row r="193" spans="1:13" ht="99.75" customHeight="1" x14ac:dyDescent="0.2">
      <c r="A193" s="43">
        <v>188</v>
      </c>
      <c r="B193" s="48">
        <v>12455</v>
      </c>
      <c r="C193" s="44">
        <v>467833</v>
      </c>
      <c r="D193" s="103" t="s">
        <v>218</v>
      </c>
      <c r="E193" s="47" t="s">
        <v>45</v>
      </c>
      <c r="F193" s="53">
        <v>10</v>
      </c>
      <c r="G193" s="53" t="s">
        <v>31</v>
      </c>
      <c r="H193" s="12">
        <v>0</v>
      </c>
      <c r="I193" s="46">
        <f t="shared" si="7"/>
        <v>0</v>
      </c>
      <c r="J193" s="76">
        <f t="shared" si="9"/>
        <v>1.1000000000000001</v>
      </c>
      <c r="K193" s="77">
        <v>0.1</v>
      </c>
      <c r="L193" s="122">
        <v>10</v>
      </c>
      <c r="M193" s="139" t="s">
        <v>31</v>
      </c>
    </row>
    <row r="194" spans="1:13" ht="118.5" customHeight="1" x14ac:dyDescent="0.2">
      <c r="A194" s="43">
        <v>189</v>
      </c>
      <c r="B194" s="48">
        <v>12456</v>
      </c>
      <c r="C194" s="48">
        <v>467747</v>
      </c>
      <c r="D194" s="100" t="s">
        <v>219</v>
      </c>
      <c r="E194" s="32" t="s">
        <v>45</v>
      </c>
      <c r="F194" s="53">
        <v>10</v>
      </c>
      <c r="G194" s="53" t="s">
        <v>31</v>
      </c>
      <c r="H194" s="12">
        <v>0</v>
      </c>
      <c r="I194" s="46">
        <f t="shared" si="7"/>
        <v>0</v>
      </c>
      <c r="J194" s="76">
        <f t="shared" si="9"/>
        <v>1.1000000000000001</v>
      </c>
      <c r="K194" s="77">
        <v>0.1</v>
      </c>
      <c r="L194" s="122">
        <v>10</v>
      </c>
      <c r="M194" s="139" t="s">
        <v>31</v>
      </c>
    </row>
    <row r="195" spans="1:13" ht="118.5" customHeight="1" x14ac:dyDescent="0.2">
      <c r="A195" s="43">
        <v>190</v>
      </c>
      <c r="B195" s="48">
        <v>12457</v>
      </c>
      <c r="C195" s="44">
        <v>364041</v>
      </c>
      <c r="D195" s="97" t="s">
        <v>220</v>
      </c>
      <c r="E195" s="45" t="s">
        <v>45</v>
      </c>
      <c r="F195" s="53">
        <v>660</v>
      </c>
      <c r="G195" s="53" t="s">
        <v>31</v>
      </c>
      <c r="H195" s="12">
        <v>0</v>
      </c>
      <c r="I195" s="46">
        <f t="shared" si="7"/>
        <v>0</v>
      </c>
      <c r="J195" s="76">
        <f t="shared" si="9"/>
        <v>1.1000000000000001</v>
      </c>
      <c r="K195" s="77">
        <v>0.1</v>
      </c>
      <c r="L195" s="122">
        <v>100</v>
      </c>
      <c r="M195" s="139" t="s">
        <v>31</v>
      </c>
    </row>
    <row r="196" spans="1:13" ht="142.5" customHeight="1" x14ac:dyDescent="0.2">
      <c r="A196" s="43">
        <v>191</v>
      </c>
      <c r="B196" s="48">
        <v>12458</v>
      </c>
      <c r="C196" s="44" t="s">
        <v>31</v>
      </c>
      <c r="D196" s="97" t="s">
        <v>221</v>
      </c>
      <c r="E196" s="45" t="s">
        <v>45</v>
      </c>
      <c r="F196" s="53">
        <v>396</v>
      </c>
      <c r="G196" s="53" t="s">
        <v>31</v>
      </c>
      <c r="H196" s="12">
        <v>10</v>
      </c>
      <c r="I196" s="46">
        <f t="shared" si="7"/>
        <v>10.909090909090908</v>
      </c>
      <c r="J196" s="76">
        <f t="shared" si="9"/>
        <v>1.1000000000000001</v>
      </c>
      <c r="K196" s="77">
        <v>0.1</v>
      </c>
      <c r="L196" s="122">
        <v>100</v>
      </c>
      <c r="M196" s="139" t="s">
        <v>31</v>
      </c>
    </row>
    <row r="197" spans="1:13" ht="118.5" customHeight="1" x14ac:dyDescent="0.2">
      <c r="A197" s="43">
        <v>192</v>
      </c>
      <c r="B197" s="48">
        <v>12459</v>
      </c>
      <c r="C197" s="44" t="s">
        <v>31</v>
      </c>
      <c r="D197" s="97" t="s">
        <v>222</v>
      </c>
      <c r="E197" s="45" t="s">
        <v>45</v>
      </c>
      <c r="F197" s="53">
        <v>175</v>
      </c>
      <c r="G197" s="53" t="s">
        <v>31</v>
      </c>
      <c r="H197" s="12">
        <v>0</v>
      </c>
      <c r="I197" s="46">
        <f t="shared" si="7"/>
        <v>0</v>
      </c>
      <c r="J197" s="76">
        <f t="shared" si="9"/>
        <v>1.1000000000000001</v>
      </c>
      <c r="K197" s="77">
        <v>0.1</v>
      </c>
      <c r="L197" s="122">
        <v>50</v>
      </c>
      <c r="M197" s="139" t="s">
        <v>31</v>
      </c>
    </row>
    <row r="198" spans="1:13" ht="118.5" customHeight="1" x14ac:dyDescent="0.2">
      <c r="A198" s="43">
        <v>193</v>
      </c>
      <c r="B198" s="48">
        <v>12460</v>
      </c>
      <c r="C198" s="44" t="s">
        <v>31</v>
      </c>
      <c r="D198" s="97" t="s">
        <v>223</v>
      </c>
      <c r="E198" s="45" t="s">
        <v>45</v>
      </c>
      <c r="F198" s="53">
        <v>198</v>
      </c>
      <c r="G198" s="53" t="s">
        <v>31</v>
      </c>
      <c r="H198" s="12">
        <v>65</v>
      </c>
      <c r="I198" s="46">
        <f t="shared" si="7"/>
        <v>70.909090909090907</v>
      </c>
      <c r="J198" s="76">
        <f t="shared" si="9"/>
        <v>1.1000000000000001</v>
      </c>
      <c r="K198" s="77">
        <v>0.1</v>
      </c>
      <c r="L198" s="122">
        <v>100</v>
      </c>
      <c r="M198" s="139" t="s">
        <v>31</v>
      </c>
    </row>
    <row r="199" spans="1:13" ht="165.75" x14ac:dyDescent="0.2">
      <c r="A199" s="43">
        <v>194</v>
      </c>
      <c r="B199" s="48">
        <v>12461</v>
      </c>
      <c r="C199" s="48" t="s">
        <v>31</v>
      </c>
      <c r="D199" s="99" t="s">
        <v>322</v>
      </c>
      <c r="E199" s="45" t="s">
        <v>60</v>
      </c>
      <c r="F199" s="53">
        <v>20</v>
      </c>
      <c r="G199" s="53" t="s">
        <v>31</v>
      </c>
      <c r="H199" s="12">
        <v>11</v>
      </c>
      <c r="I199" s="46">
        <f t="shared" ref="I199:I262" si="10">(H199/11)*12</f>
        <v>12</v>
      </c>
      <c r="J199" s="76">
        <f t="shared" si="9"/>
        <v>1.1000000000000001</v>
      </c>
      <c r="K199" s="77">
        <v>0.1</v>
      </c>
      <c r="L199" s="122">
        <v>20</v>
      </c>
      <c r="M199" s="139" t="s">
        <v>31</v>
      </c>
    </row>
    <row r="200" spans="1:13" ht="165.75" x14ac:dyDescent="0.2">
      <c r="A200" s="43">
        <v>195</v>
      </c>
      <c r="B200" s="48">
        <v>6323</v>
      </c>
      <c r="C200" s="52" t="s">
        <v>31</v>
      </c>
      <c r="D200" s="99" t="s">
        <v>224</v>
      </c>
      <c r="E200" s="45" t="s">
        <v>60</v>
      </c>
      <c r="F200" s="53">
        <v>20</v>
      </c>
      <c r="G200" s="53" t="s">
        <v>31</v>
      </c>
      <c r="H200" s="12">
        <v>24</v>
      </c>
      <c r="I200" s="46">
        <f t="shared" si="10"/>
        <v>26.18181818181818</v>
      </c>
      <c r="J200" s="76">
        <f t="shared" si="9"/>
        <v>1.1000000000000001</v>
      </c>
      <c r="K200" s="77">
        <v>0.1</v>
      </c>
      <c r="L200" s="46">
        <f t="shared" ref="L200:L237" si="11">ROUND(I200*J200,)</f>
        <v>29</v>
      </c>
      <c r="M200" s="139" t="s">
        <v>31</v>
      </c>
    </row>
    <row r="201" spans="1:13" ht="165.75" x14ac:dyDescent="0.2">
      <c r="A201" s="43">
        <v>196</v>
      </c>
      <c r="B201" s="48">
        <v>12463</v>
      </c>
      <c r="C201" s="52" t="s">
        <v>31</v>
      </c>
      <c r="D201" s="99" t="s">
        <v>225</v>
      </c>
      <c r="E201" s="45" t="s">
        <v>60</v>
      </c>
      <c r="F201" s="53">
        <v>20</v>
      </c>
      <c r="G201" s="53" t="s">
        <v>31</v>
      </c>
      <c r="H201" s="12">
        <v>16</v>
      </c>
      <c r="I201" s="46">
        <f t="shared" si="10"/>
        <v>17.454545454545453</v>
      </c>
      <c r="J201" s="76">
        <f t="shared" si="9"/>
        <v>1.1000000000000001</v>
      </c>
      <c r="K201" s="77">
        <v>0.1</v>
      </c>
      <c r="L201" s="122">
        <v>50</v>
      </c>
      <c r="M201" s="139" t="s">
        <v>31</v>
      </c>
    </row>
    <row r="202" spans="1:13" ht="153" x14ac:dyDescent="0.2">
      <c r="A202" s="43">
        <v>197</v>
      </c>
      <c r="B202" s="48">
        <v>12464</v>
      </c>
      <c r="C202" s="52" t="s">
        <v>31</v>
      </c>
      <c r="D202" s="99" t="s">
        <v>226</v>
      </c>
      <c r="E202" s="45" t="s">
        <v>60</v>
      </c>
      <c r="F202" s="53">
        <v>20</v>
      </c>
      <c r="G202" s="53" t="s">
        <v>31</v>
      </c>
      <c r="H202" s="12">
        <v>10</v>
      </c>
      <c r="I202" s="46">
        <f t="shared" si="10"/>
        <v>10.909090909090908</v>
      </c>
      <c r="J202" s="76">
        <f t="shared" si="9"/>
        <v>1.1000000000000001</v>
      </c>
      <c r="K202" s="77">
        <v>0.1</v>
      </c>
      <c r="L202" s="46">
        <f t="shared" si="11"/>
        <v>12</v>
      </c>
      <c r="M202" s="139" t="s">
        <v>31</v>
      </c>
    </row>
    <row r="203" spans="1:13" ht="118.5" customHeight="1" x14ac:dyDescent="0.2">
      <c r="A203" s="43">
        <v>198</v>
      </c>
      <c r="B203" s="48">
        <v>12465</v>
      </c>
      <c r="C203" s="44">
        <v>467850</v>
      </c>
      <c r="D203" s="101" t="s">
        <v>227</v>
      </c>
      <c r="E203" s="45" t="s">
        <v>45</v>
      </c>
      <c r="F203" s="53">
        <v>5</v>
      </c>
      <c r="G203" s="53" t="s">
        <v>31</v>
      </c>
      <c r="H203" s="12">
        <v>0</v>
      </c>
      <c r="I203" s="46">
        <f t="shared" si="10"/>
        <v>0</v>
      </c>
      <c r="J203" s="76">
        <f t="shared" si="9"/>
        <v>1.1000000000000001</v>
      </c>
      <c r="K203" s="77">
        <v>0.1</v>
      </c>
      <c r="L203" s="122">
        <v>5</v>
      </c>
      <c r="M203" s="139" t="s">
        <v>31</v>
      </c>
    </row>
    <row r="204" spans="1:13" ht="118.5" customHeight="1" x14ac:dyDescent="0.2">
      <c r="A204" s="43">
        <v>199</v>
      </c>
      <c r="B204" s="48">
        <v>12466</v>
      </c>
      <c r="C204" s="44">
        <v>467845</v>
      </c>
      <c r="D204" s="101" t="s">
        <v>228</v>
      </c>
      <c r="E204" s="45" t="s">
        <v>45</v>
      </c>
      <c r="F204" s="53">
        <v>5</v>
      </c>
      <c r="G204" s="53" t="s">
        <v>31</v>
      </c>
      <c r="H204" s="12">
        <v>0</v>
      </c>
      <c r="I204" s="46">
        <f t="shared" si="10"/>
        <v>0</v>
      </c>
      <c r="J204" s="76">
        <f t="shared" si="9"/>
        <v>1.1000000000000001</v>
      </c>
      <c r="K204" s="77">
        <v>0.1</v>
      </c>
      <c r="L204" s="122">
        <v>5</v>
      </c>
      <c r="M204" s="139" t="s">
        <v>31</v>
      </c>
    </row>
    <row r="205" spans="1:13" ht="118.5" customHeight="1" x14ac:dyDescent="0.2">
      <c r="A205" s="43">
        <v>200</v>
      </c>
      <c r="B205" s="48">
        <v>12468</v>
      </c>
      <c r="C205" s="44">
        <v>467834</v>
      </c>
      <c r="D205" s="101" t="s">
        <v>229</v>
      </c>
      <c r="E205" s="45" t="s">
        <v>45</v>
      </c>
      <c r="F205" s="53">
        <v>5</v>
      </c>
      <c r="G205" s="53" t="s">
        <v>31</v>
      </c>
      <c r="H205" s="12">
        <v>0</v>
      </c>
      <c r="I205" s="46">
        <f t="shared" si="10"/>
        <v>0</v>
      </c>
      <c r="J205" s="76">
        <f t="shared" si="9"/>
        <v>1.1000000000000001</v>
      </c>
      <c r="K205" s="77">
        <v>0.1</v>
      </c>
      <c r="L205" s="122">
        <v>5</v>
      </c>
      <c r="M205" s="139" t="s">
        <v>31</v>
      </c>
    </row>
    <row r="206" spans="1:13" ht="118.5" customHeight="1" x14ac:dyDescent="0.2">
      <c r="A206" s="43">
        <v>201</v>
      </c>
      <c r="B206" s="48">
        <v>12467</v>
      </c>
      <c r="C206" s="44">
        <v>467839</v>
      </c>
      <c r="D206" s="101" t="s">
        <v>230</v>
      </c>
      <c r="E206" s="45" t="s">
        <v>45</v>
      </c>
      <c r="F206" s="53">
        <v>5</v>
      </c>
      <c r="G206" s="53" t="s">
        <v>31</v>
      </c>
      <c r="H206" s="12">
        <v>0</v>
      </c>
      <c r="I206" s="46">
        <f t="shared" si="10"/>
        <v>0</v>
      </c>
      <c r="J206" s="76">
        <f t="shared" si="9"/>
        <v>1.1000000000000001</v>
      </c>
      <c r="K206" s="77">
        <v>0.1</v>
      </c>
      <c r="L206" s="122">
        <v>5</v>
      </c>
      <c r="M206" s="139" t="s">
        <v>31</v>
      </c>
    </row>
    <row r="207" spans="1:13" ht="118.5" customHeight="1" x14ac:dyDescent="0.2">
      <c r="A207" s="43">
        <v>202</v>
      </c>
      <c r="B207" s="48">
        <v>12469</v>
      </c>
      <c r="C207" s="44">
        <v>467987</v>
      </c>
      <c r="D207" s="97" t="s">
        <v>231</v>
      </c>
      <c r="E207" s="45" t="s">
        <v>45</v>
      </c>
      <c r="F207" s="53">
        <v>5</v>
      </c>
      <c r="G207" s="53" t="s">
        <v>31</v>
      </c>
      <c r="H207" s="12">
        <v>0</v>
      </c>
      <c r="I207" s="46">
        <f t="shared" si="10"/>
        <v>0</v>
      </c>
      <c r="J207" s="76">
        <f t="shared" si="9"/>
        <v>1.1000000000000001</v>
      </c>
      <c r="K207" s="77">
        <v>0.1</v>
      </c>
      <c r="L207" s="122">
        <v>5</v>
      </c>
      <c r="M207" s="139" t="s">
        <v>31</v>
      </c>
    </row>
    <row r="208" spans="1:13" ht="118.5" customHeight="1" x14ac:dyDescent="0.2">
      <c r="A208" s="43">
        <v>203</v>
      </c>
      <c r="B208" s="48">
        <v>12470</v>
      </c>
      <c r="C208" s="44">
        <v>467746</v>
      </c>
      <c r="D208" s="97" t="s">
        <v>232</v>
      </c>
      <c r="E208" s="45" t="s">
        <v>45</v>
      </c>
      <c r="F208" s="53">
        <v>5</v>
      </c>
      <c r="G208" s="53" t="s">
        <v>31</v>
      </c>
      <c r="H208" s="12">
        <v>0</v>
      </c>
      <c r="I208" s="46">
        <f t="shared" si="10"/>
        <v>0</v>
      </c>
      <c r="J208" s="76">
        <f t="shared" si="9"/>
        <v>1.1000000000000001</v>
      </c>
      <c r="K208" s="77">
        <v>0.1</v>
      </c>
      <c r="L208" s="122">
        <v>5</v>
      </c>
      <c r="M208" s="139" t="s">
        <v>31</v>
      </c>
    </row>
    <row r="209" spans="1:13" ht="118.5" customHeight="1" x14ac:dyDescent="0.2">
      <c r="A209" s="43">
        <v>204</v>
      </c>
      <c r="B209" s="48">
        <v>12471</v>
      </c>
      <c r="C209" s="48">
        <v>475453</v>
      </c>
      <c r="D209" s="97" t="s">
        <v>233</v>
      </c>
      <c r="E209" s="45" t="s">
        <v>45</v>
      </c>
      <c r="F209" s="53">
        <v>5</v>
      </c>
      <c r="G209" s="53" t="s">
        <v>31</v>
      </c>
      <c r="H209" s="12">
        <v>0</v>
      </c>
      <c r="I209" s="46">
        <f t="shared" si="10"/>
        <v>0</v>
      </c>
      <c r="J209" s="76">
        <f t="shared" si="9"/>
        <v>1.1000000000000001</v>
      </c>
      <c r="K209" s="77">
        <v>0.1</v>
      </c>
      <c r="L209" s="122">
        <v>5</v>
      </c>
      <c r="M209" s="139" t="s">
        <v>31</v>
      </c>
    </row>
    <row r="210" spans="1:13" ht="118.5" customHeight="1" x14ac:dyDescent="0.2">
      <c r="A210" s="43">
        <v>205</v>
      </c>
      <c r="B210" s="48">
        <v>12472</v>
      </c>
      <c r="C210" s="44">
        <v>475452</v>
      </c>
      <c r="D210" s="97" t="s">
        <v>234</v>
      </c>
      <c r="E210" s="45" t="s">
        <v>45</v>
      </c>
      <c r="F210" s="53">
        <v>5</v>
      </c>
      <c r="G210" s="53" t="s">
        <v>31</v>
      </c>
      <c r="H210" s="12">
        <v>0</v>
      </c>
      <c r="I210" s="46">
        <f t="shared" si="10"/>
        <v>0</v>
      </c>
      <c r="J210" s="76">
        <f t="shared" si="9"/>
        <v>1.1000000000000001</v>
      </c>
      <c r="K210" s="77">
        <v>0.1</v>
      </c>
      <c r="L210" s="122">
        <v>5</v>
      </c>
      <c r="M210" s="139" t="s">
        <v>31</v>
      </c>
    </row>
    <row r="211" spans="1:13" ht="118.5" customHeight="1" x14ac:dyDescent="0.2">
      <c r="A211" s="43">
        <v>206</v>
      </c>
      <c r="B211" s="48">
        <v>12473</v>
      </c>
      <c r="C211" s="44">
        <v>467862</v>
      </c>
      <c r="D211" s="97" t="s">
        <v>235</v>
      </c>
      <c r="E211" s="45" t="s">
        <v>45</v>
      </c>
      <c r="F211" s="53">
        <v>5</v>
      </c>
      <c r="G211" s="53" t="s">
        <v>31</v>
      </c>
      <c r="H211" s="12">
        <v>0</v>
      </c>
      <c r="I211" s="46">
        <f t="shared" si="10"/>
        <v>0</v>
      </c>
      <c r="J211" s="76">
        <f t="shared" si="9"/>
        <v>1.1000000000000001</v>
      </c>
      <c r="K211" s="77">
        <v>0.1</v>
      </c>
      <c r="L211" s="122">
        <v>5</v>
      </c>
      <c r="M211" s="139" t="s">
        <v>31</v>
      </c>
    </row>
    <row r="212" spans="1:13" ht="118.5" customHeight="1" x14ac:dyDescent="0.2">
      <c r="A212" s="43">
        <v>207</v>
      </c>
      <c r="B212" s="48">
        <v>12476</v>
      </c>
      <c r="C212" s="44">
        <v>471145</v>
      </c>
      <c r="D212" s="97" t="s">
        <v>236</v>
      </c>
      <c r="E212" s="45" t="s">
        <v>45</v>
      </c>
      <c r="F212" s="53">
        <v>10</v>
      </c>
      <c r="G212" s="53" t="s">
        <v>31</v>
      </c>
      <c r="H212" s="12">
        <v>8</v>
      </c>
      <c r="I212" s="46">
        <f t="shared" si="10"/>
        <v>8.7272727272727266</v>
      </c>
      <c r="J212" s="76">
        <f t="shared" si="9"/>
        <v>1.1000000000000001</v>
      </c>
      <c r="K212" s="77">
        <v>0.1</v>
      </c>
      <c r="L212" s="122">
        <f t="shared" si="11"/>
        <v>10</v>
      </c>
      <c r="M212" s="139" t="s">
        <v>31</v>
      </c>
    </row>
    <row r="213" spans="1:13" ht="118.5" customHeight="1" x14ac:dyDescent="0.2">
      <c r="A213" s="43">
        <v>208</v>
      </c>
      <c r="B213" s="48">
        <v>12477</v>
      </c>
      <c r="C213" s="44">
        <v>471148</v>
      </c>
      <c r="D213" s="97" t="s">
        <v>237</v>
      </c>
      <c r="E213" s="45" t="s">
        <v>45</v>
      </c>
      <c r="F213" s="53">
        <v>10</v>
      </c>
      <c r="G213" s="53" t="s">
        <v>31</v>
      </c>
      <c r="H213" s="12">
        <v>0</v>
      </c>
      <c r="I213" s="46">
        <f t="shared" si="10"/>
        <v>0</v>
      </c>
      <c r="J213" s="76">
        <f t="shared" si="9"/>
        <v>1.1000000000000001</v>
      </c>
      <c r="K213" s="77">
        <v>0.1</v>
      </c>
      <c r="L213" s="122">
        <v>10</v>
      </c>
      <c r="M213" s="139" t="s">
        <v>31</v>
      </c>
    </row>
    <row r="214" spans="1:13" ht="118.5" customHeight="1" x14ac:dyDescent="0.2">
      <c r="A214" s="43">
        <v>209</v>
      </c>
      <c r="B214" s="48">
        <v>12478</v>
      </c>
      <c r="C214" s="44">
        <v>453771</v>
      </c>
      <c r="D214" s="99" t="s">
        <v>238</v>
      </c>
      <c r="E214" s="45" t="s">
        <v>45</v>
      </c>
      <c r="F214" s="53">
        <v>5</v>
      </c>
      <c r="G214" s="53" t="s">
        <v>31</v>
      </c>
      <c r="H214" s="12">
        <v>0</v>
      </c>
      <c r="I214" s="46">
        <f t="shared" si="10"/>
        <v>0</v>
      </c>
      <c r="J214" s="76">
        <f t="shared" si="9"/>
        <v>1.1000000000000001</v>
      </c>
      <c r="K214" s="77">
        <v>0.1</v>
      </c>
      <c r="L214" s="122">
        <v>5</v>
      </c>
      <c r="M214" s="139" t="s">
        <v>31</v>
      </c>
    </row>
    <row r="215" spans="1:13" ht="118.5" customHeight="1" x14ac:dyDescent="0.2">
      <c r="A215" s="43">
        <v>210</v>
      </c>
      <c r="B215" s="48">
        <v>12479</v>
      </c>
      <c r="C215" s="44">
        <v>453772</v>
      </c>
      <c r="D215" s="99" t="s">
        <v>239</v>
      </c>
      <c r="E215" s="45" t="s">
        <v>45</v>
      </c>
      <c r="F215" s="53">
        <v>5</v>
      </c>
      <c r="G215" s="53" t="s">
        <v>31</v>
      </c>
      <c r="H215" s="12">
        <v>0</v>
      </c>
      <c r="I215" s="46">
        <f t="shared" si="10"/>
        <v>0</v>
      </c>
      <c r="J215" s="76">
        <f t="shared" si="9"/>
        <v>1.1000000000000001</v>
      </c>
      <c r="K215" s="77">
        <v>0.1</v>
      </c>
      <c r="L215" s="122">
        <v>5</v>
      </c>
      <c r="M215" s="139" t="s">
        <v>31</v>
      </c>
    </row>
    <row r="216" spans="1:13" ht="118.5" customHeight="1" x14ac:dyDescent="0.2">
      <c r="A216" s="43">
        <v>211</v>
      </c>
      <c r="B216" s="48">
        <v>12480</v>
      </c>
      <c r="C216" s="44">
        <v>413334</v>
      </c>
      <c r="D216" s="97" t="s">
        <v>240</v>
      </c>
      <c r="E216" s="45" t="s">
        <v>45</v>
      </c>
      <c r="F216" s="53">
        <v>100</v>
      </c>
      <c r="G216" s="53" t="s">
        <v>31</v>
      </c>
      <c r="H216" s="12">
        <v>0</v>
      </c>
      <c r="I216" s="46">
        <f t="shared" si="10"/>
        <v>0</v>
      </c>
      <c r="J216" s="76">
        <f t="shared" si="9"/>
        <v>1.1000000000000001</v>
      </c>
      <c r="K216" s="77">
        <v>0.1</v>
      </c>
      <c r="L216" s="122">
        <v>50</v>
      </c>
      <c r="M216" s="139" t="s">
        <v>31</v>
      </c>
    </row>
    <row r="217" spans="1:13" s="92" customFormat="1" ht="126" customHeight="1" x14ac:dyDescent="0.2">
      <c r="A217" s="133">
        <v>212</v>
      </c>
      <c r="B217" s="48">
        <v>12481</v>
      </c>
      <c r="C217" s="48">
        <v>339561</v>
      </c>
      <c r="D217" s="99" t="s">
        <v>241</v>
      </c>
      <c r="E217" s="47" t="s">
        <v>158</v>
      </c>
      <c r="F217" s="53">
        <v>20</v>
      </c>
      <c r="G217" s="53" t="s">
        <v>31</v>
      </c>
      <c r="H217" s="53">
        <v>0</v>
      </c>
      <c r="I217" s="46">
        <f t="shared" si="10"/>
        <v>0</v>
      </c>
      <c r="J217" s="123">
        <f t="shared" si="9"/>
        <v>1.1000000000000001</v>
      </c>
      <c r="K217" s="124">
        <v>0.1</v>
      </c>
      <c r="L217" s="46">
        <v>20</v>
      </c>
      <c r="M217" s="139" t="s">
        <v>31</v>
      </c>
    </row>
    <row r="218" spans="1:13" ht="167.25" customHeight="1" x14ac:dyDescent="0.2">
      <c r="A218" s="43">
        <v>213</v>
      </c>
      <c r="B218" s="48">
        <v>12483</v>
      </c>
      <c r="C218" s="44">
        <v>339565</v>
      </c>
      <c r="D218" s="99" t="s">
        <v>242</v>
      </c>
      <c r="E218" s="45" t="s">
        <v>46</v>
      </c>
      <c r="F218" s="53">
        <v>3300</v>
      </c>
      <c r="G218" s="53" t="s">
        <v>31</v>
      </c>
      <c r="H218" s="12">
        <v>2240</v>
      </c>
      <c r="I218" s="46">
        <f t="shared" si="10"/>
        <v>2443.6363636363635</v>
      </c>
      <c r="J218" s="76">
        <f t="shared" si="9"/>
        <v>1.1000000000000001</v>
      </c>
      <c r="K218" s="77">
        <v>0.1</v>
      </c>
      <c r="L218" s="46">
        <f t="shared" si="11"/>
        <v>2688</v>
      </c>
      <c r="M218" s="139" t="s">
        <v>31</v>
      </c>
    </row>
    <row r="219" spans="1:13" ht="118.5" customHeight="1" x14ac:dyDescent="0.2">
      <c r="A219" s="43">
        <v>214</v>
      </c>
      <c r="B219" s="48">
        <v>12484</v>
      </c>
      <c r="C219" s="44">
        <v>464785</v>
      </c>
      <c r="D219" s="99" t="s">
        <v>243</v>
      </c>
      <c r="E219" s="47" t="s">
        <v>45</v>
      </c>
      <c r="F219" s="53">
        <v>6600</v>
      </c>
      <c r="G219" s="53" t="s">
        <v>31</v>
      </c>
      <c r="H219" s="12">
        <v>3051</v>
      </c>
      <c r="I219" s="46">
        <f t="shared" si="10"/>
        <v>3328.3636363636365</v>
      </c>
      <c r="J219" s="76">
        <f t="shared" si="9"/>
        <v>1.1000000000000001</v>
      </c>
      <c r="K219" s="77">
        <v>0.1</v>
      </c>
      <c r="L219" s="46">
        <v>3600</v>
      </c>
      <c r="M219" s="139" t="s">
        <v>31</v>
      </c>
    </row>
    <row r="220" spans="1:13" ht="165.75" x14ac:dyDescent="0.2">
      <c r="A220" s="43">
        <v>215</v>
      </c>
      <c r="B220" s="48">
        <v>12485</v>
      </c>
      <c r="C220" s="44">
        <v>417795</v>
      </c>
      <c r="D220" s="97" t="s">
        <v>244</v>
      </c>
      <c r="E220" s="45" t="s">
        <v>45</v>
      </c>
      <c r="F220" s="53">
        <v>77500</v>
      </c>
      <c r="G220" s="53" t="s">
        <v>31</v>
      </c>
      <c r="H220" s="12">
        <v>24617</v>
      </c>
      <c r="I220" s="46">
        <f t="shared" si="10"/>
        <v>26854.909090909092</v>
      </c>
      <c r="J220" s="76">
        <f t="shared" si="9"/>
        <v>1.1000000000000001</v>
      </c>
      <c r="K220" s="77">
        <v>0.1</v>
      </c>
      <c r="L220" s="46">
        <v>29500</v>
      </c>
      <c r="M220" s="139" t="s">
        <v>31</v>
      </c>
    </row>
    <row r="221" spans="1:13" ht="165.75" x14ac:dyDescent="0.2">
      <c r="A221" s="43">
        <v>216</v>
      </c>
      <c r="B221" s="48">
        <v>15339</v>
      </c>
      <c r="C221" s="44" t="s">
        <v>31</v>
      </c>
      <c r="D221" s="98" t="s">
        <v>323</v>
      </c>
      <c r="E221" s="47" t="s">
        <v>45</v>
      </c>
      <c r="F221" s="53">
        <v>43701</v>
      </c>
      <c r="G221" s="53" t="s">
        <v>31</v>
      </c>
      <c r="H221" s="12">
        <v>39960</v>
      </c>
      <c r="I221" s="46">
        <f t="shared" si="10"/>
        <v>43592.727272727272</v>
      </c>
      <c r="J221" s="76">
        <f t="shared" si="9"/>
        <v>1.1000000000000001</v>
      </c>
      <c r="K221" s="77">
        <v>0.1</v>
      </c>
      <c r="L221" s="122">
        <v>60000</v>
      </c>
      <c r="M221" s="139" t="s">
        <v>31</v>
      </c>
    </row>
    <row r="222" spans="1:13" ht="165.75" x14ac:dyDescent="0.2">
      <c r="A222" s="43">
        <v>217</v>
      </c>
      <c r="B222" s="48">
        <v>15340</v>
      </c>
      <c r="C222" s="44">
        <v>422326</v>
      </c>
      <c r="D222" s="99" t="s">
        <v>324</v>
      </c>
      <c r="E222" s="47" t="s">
        <v>45</v>
      </c>
      <c r="F222" s="53">
        <v>100000</v>
      </c>
      <c r="G222" s="53" t="s">
        <v>31</v>
      </c>
      <c r="H222" s="12">
        <v>30490</v>
      </c>
      <c r="I222" s="46">
        <f t="shared" si="10"/>
        <v>33261.818181818184</v>
      </c>
      <c r="J222" s="76">
        <f t="shared" si="9"/>
        <v>1.1000000000000001</v>
      </c>
      <c r="K222" s="77">
        <v>0.1</v>
      </c>
      <c r="L222" s="46">
        <v>52000</v>
      </c>
      <c r="M222" s="139" t="s">
        <v>31</v>
      </c>
    </row>
    <row r="223" spans="1:13" ht="165.75" x14ac:dyDescent="0.2">
      <c r="A223" s="43">
        <v>218</v>
      </c>
      <c r="B223" s="48">
        <v>12488</v>
      </c>
      <c r="C223" s="44">
        <v>417796</v>
      </c>
      <c r="D223" s="99" t="s">
        <v>245</v>
      </c>
      <c r="E223" s="47" t="s">
        <v>45</v>
      </c>
      <c r="F223" s="53">
        <v>43560</v>
      </c>
      <c r="G223" s="53" t="s">
        <v>31</v>
      </c>
      <c r="H223" s="12">
        <v>33100</v>
      </c>
      <c r="I223" s="46">
        <f t="shared" si="10"/>
        <v>36109.090909090912</v>
      </c>
      <c r="J223" s="76">
        <f t="shared" si="9"/>
        <v>1.1000000000000001</v>
      </c>
      <c r="K223" s="77">
        <v>0.1</v>
      </c>
      <c r="L223" s="46">
        <v>56500</v>
      </c>
      <c r="M223" s="139" t="s">
        <v>31</v>
      </c>
    </row>
    <row r="224" spans="1:13" ht="204.75" customHeight="1" x14ac:dyDescent="0.2">
      <c r="A224" s="43">
        <v>219</v>
      </c>
      <c r="B224" s="48">
        <v>12489</v>
      </c>
      <c r="C224" s="44">
        <v>454093</v>
      </c>
      <c r="D224" s="99" t="s">
        <v>246</v>
      </c>
      <c r="E224" s="47" t="s">
        <v>45</v>
      </c>
      <c r="F224" s="53">
        <v>17160</v>
      </c>
      <c r="G224" s="53" t="s">
        <v>31</v>
      </c>
      <c r="H224" s="12">
        <v>12590</v>
      </c>
      <c r="I224" s="46">
        <f t="shared" si="10"/>
        <v>13734.545454545454</v>
      </c>
      <c r="J224" s="76">
        <f t="shared" si="9"/>
        <v>1.1000000000000001</v>
      </c>
      <c r="K224" s="77">
        <v>0.1</v>
      </c>
      <c r="L224" s="46">
        <v>18000</v>
      </c>
      <c r="M224" s="139" t="s">
        <v>31</v>
      </c>
    </row>
    <row r="225" spans="1:13" ht="178.5" x14ac:dyDescent="0.2">
      <c r="A225" s="43">
        <v>220</v>
      </c>
      <c r="B225" s="48">
        <v>12490</v>
      </c>
      <c r="C225" s="44">
        <v>436040</v>
      </c>
      <c r="D225" s="97" t="s">
        <v>247</v>
      </c>
      <c r="E225" s="45" t="s">
        <v>45</v>
      </c>
      <c r="F225" s="53">
        <v>145</v>
      </c>
      <c r="G225" s="53" t="s">
        <v>31</v>
      </c>
      <c r="H225" s="12">
        <v>0</v>
      </c>
      <c r="I225" s="46">
        <f t="shared" si="10"/>
        <v>0</v>
      </c>
      <c r="J225" s="76">
        <f t="shared" si="9"/>
        <v>1.1000000000000001</v>
      </c>
      <c r="K225" s="77">
        <v>0.1</v>
      </c>
      <c r="L225" s="122">
        <v>100</v>
      </c>
      <c r="M225" s="139" t="s">
        <v>31</v>
      </c>
    </row>
    <row r="226" spans="1:13" ht="153" x14ac:dyDescent="0.2">
      <c r="A226" s="43">
        <v>221</v>
      </c>
      <c r="B226" s="48">
        <v>12491</v>
      </c>
      <c r="C226" s="44">
        <v>436000</v>
      </c>
      <c r="D226" s="97" t="s">
        <v>248</v>
      </c>
      <c r="E226" s="45" t="s">
        <v>45</v>
      </c>
      <c r="F226" s="53">
        <v>300</v>
      </c>
      <c r="G226" s="53" t="s">
        <v>31</v>
      </c>
      <c r="H226" s="12">
        <v>28</v>
      </c>
      <c r="I226" s="46">
        <f t="shared" si="10"/>
        <v>30.545454545454547</v>
      </c>
      <c r="J226" s="76">
        <f t="shared" si="9"/>
        <v>1.1000000000000001</v>
      </c>
      <c r="K226" s="77">
        <v>0.1</v>
      </c>
      <c r="L226" s="122">
        <v>100</v>
      </c>
      <c r="M226" s="139" t="s">
        <v>31</v>
      </c>
    </row>
    <row r="227" spans="1:13" ht="165" customHeight="1" x14ac:dyDescent="0.2">
      <c r="A227" s="43">
        <v>222</v>
      </c>
      <c r="B227" s="48">
        <v>12494</v>
      </c>
      <c r="C227" s="44">
        <v>436001</v>
      </c>
      <c r="D227" s="97" t="s">
        <v>249</v>
      </c>
      <c r="E227" s="45" t="s">
        <v>45</v>
      </c>
      <c r="F227" s="53">
        <v>300</v>
      </c>
      <c r="G227" s="53" t="s">
        <v>31</v>
      </c>
      <c r="H227" s="12">
        <v>44</v>
      </c>
      <c r="I227" s="46">
        <f t="shared" si="10"/>
        <v>48</v>
      </c>
      <c r="J227" s="76">
        <f t="shared" ref="J227:J290" si="12">1+K227</f>
        <v>1.1000000000000001</v>
      </c>
      <c r="K227" s="77">
        <v>0.1</v>
      </c>
      <c r="L227" s="46">
        <v>50</v>
      </c>
      <c r="M227" s="139" t="s">
        <v>31</v>
      </c>
    </row>
    <row r="228" spans="1:13" ht="171.75" customHeight="1" x14ac:dyDescent="0.2">
      <c r="A228" s="43">
        <v>223</v>
      </c>
      <c r="B228" s="48">
        <v>12492</v>
      </c>
      <c r="C228" s="44">
        <v>436002</v>
      </c>
      <c r="D228" s="97" t="s">
        <v>250</v>
      </c>
      <c r="E228" s="45" t="s">
        <v>45</v>
      </c>
      <c r="F228" s="53">
        <v>119</v>
      </c>
      <c r="G228" s="53" t="s">
        <v>31</v>
      </c>
      <c r="H228" s="12">
        <v>68</v>
      </c>
      <c r="I228" s="46">
        <f t="shared" si="10"/>
        <v>74.181818181818187</v>
      </c>
      <c r="J228" s="76">
        <f t="shared" si="12"/>
        <v>1.1000000000000001</v>
      </c>
      <c r="K228" s="77">
        <v>0.1</v>
      </c>
      <c r="L228" s="122">
        <v>100</v>
      </c>
      <c r="M228" s="139" t="s">
        <v>31</v>
      </c>
    </row>
    <row r="229" spans="1:13" ht="158.25" customHeight="1" x14ac:dyDescent="0.2">
      <c r="A229" s="43">
        <v>224</v>
      </c>
      <c r="B229" s="48">
        <v>12493</v>
      </c>
      <c r="C229" s="44">
        <v>436007</v>
      </c>
      <c r="D229" s="97" t="s">
        <v>251</v>
      </c>
      <c r="E229" s="45" t="s">
        <v>45</v>
      </c>
      <c r="F229" s="53">
        <v>600</v>
      </c>
      <c r="G229" s="53" t="s">
        <v>31</v>
      </c>
      <c r="H229" s="12">
        <v>197</v>
      </c>
      <c r="I229" s="46">
        <f t="shared" si="10"/>
        <v>214.90909090909093</v>
      </c>
      <c r="J229" s="76">
        <f t="shared" si="12"/>
        <v>1.1000000000000001</v>
      </c>
      <c r="K229" s="77">
        <v>0.1</v>
      </c>
      <c r="L229" s="46">
        <v>240</v>
      </c>
      <c r="M229" s="139" t="s">
        <v>31</v>
      </c>
    </row>
    <row r="230" spans="1:13" ht="175.5" customHeight="1" x14ac:dyDescent="0.2">
      <c r="A230" s="43">
        <v>225</v>
      </c>
      <c r="B230" s="48">
        <v>12495</v>
      </c>
      <c r="C230" s="44">
        <v>436003</v>
      </c>
      <c r="D230" s="97" t="s">
        <v>252</v>
      </c>
      <c r="E230" s="45" t="s">
        <v>45</v>
      </c>
      <c r="F230" s="53">
        <v>300</v>
      </c>
      <c r="G230" s="53" t="s">
        <v>31</v>
      </c>
      <c r="H230" s="12">
        <v>130</v>
      </c>
      <c r="I230" s="46">
        <f t="shared" si="10"/>
        <v>141.81818181818181</v>
      </c>
      <c r="J230" s="76">
        <f t="shared" si="12"/>
        <v>1.1000000000000001</v>
      </c>
      <c r="K230" s="77">
        <v>0.1</v>
      </c>
      <c r="L230" s="46">
        <v>150</v>
      </c>
      <c r="M230" s="139" t="s">
        <v>31</v>
      </c>
    </row>
    <row r="231" spans="1:13" ht="177.75" customHeight="1" x14ac:dyDescent="0.2">
      <c r="A231" s="43">
        <v>226</v>
      </c>
      <c r="B231" s="48">
        <v>12496</v>
      </c>
      <c r="C231" s="44">
        <v>436010</v>
      </c>
      <c r="D231" s="97" t="s">
        <v>253</v>
      </c>
      <c r="E231" s="45" t="s">
        <v>45</v>
      </c>
      <c r="F231" s="53">
        <v>300</v>
      </c>
      <c r="G231" s="53" t="s">
        <v>31</v>
      </c>
      <c r="H231" s="12">
        <v>108</v>
      </c>
      <c r="I231" s="46">
        <f t="shared" si="10"/>
        <v>117.81818181818181</v>
      </c>
      <c r="J231" s="76">
        <f t="shared" si="12"/>
        <v>1.1000000000000001</v>
      </c>
      <c r="K231" s="77">
        <v>0.1</v>
      </c>
      <c r="L231" s="46">
        <f t="shared" si="11"/>
        <v>130</v>
      </c>
      <c r="M231" s="139" t="s">
        <v>31</v>
      </c>
    </row>
    <row r="232" spans="1:13" ht="177.75" customHeight="1" x14ac:dyDescent="0.2">
      <c r="A232" s="43">
        <v>227</v>
      </c>
      <c r="B232" s="48">
        <v>12497</v>
      </c>
      <c r="C232" s="44">
        <v>436004</v>
      </c>
      <c r="D232" s="97" t="s">
        <v>254</v>
      </c>
      <c r="E232" s="45" t="s">
        <v>45</v>
      </c>
      <c r="F232" s="53">
        <v>300</v>
      </c>
      <c r="G232" s="53" t="s">
        <v>31</v>
      </c>
      <c r="H232" s="12">
        <v>86</v>
      </c>
      <c r="I232" s="46">
        <f t="shared" si="10"/>
        <v>93.818181818181813</v>
      </c>
      <c r="J232" s="76">
        <f t="shared" si="12"/>
        <v>1.1000000000000001</v>
      </c>
      <c r="K232" s="77">
        <v>0.1</v>
      </c>
      <c r="L232" s="46">
        <v>100</v>
      </c>
      <c r="M232" s="139" t="s">
        <v>31</v>
      </c>
    </row>
    <row r="233" spans="1:13" ht="178.5" customHeight="1" x14ac:dyDescent="0.2">
      <c r="A233" s="43">
        <v>228</v>
      </c>
      <c r="B233" s="48">
        <v>12498</v>
      </c>
      <c r="C233" s="44">
        <v>436006</v>
      </c>
      <c r="D233" s="97" t="s">
        <v>255</v>
      </c>
      <c r="E233" s="45" t="s">
        <v>45</v>
      </c>
      <c r="F233" s="53">
        <v>250</v>
      </c>
      <c r="G233" s="53" t="s">
        <v>31</v>
      </c>
      <c r="H233" s="12">
        <v>44</v>
      </c>
      <c r="I233" s="46">
        <f t="shared" si="10"/>
        <v>48</v>
      </c>
      <c r="J233" s="76">
        <f t="shared" si="12"/>
        <v>1.1000000000000001</v>
      </c>
      <c r="K233" s="77">
        <v>0.1</v>
      </c>
      <c r="L233" s="122">
        <v>100</v>
      </c>
      <c r="M233" s="139" t="s">
        <v>31</v>
      </c>
    </row>
    <row r="234" spans="1:13" ht="143.25" customHeight="1" x14ac:dyDescent="0.2">
      <c r="A234" s="43">
        <v>229</v>
      </c>
      <c r="B234" s="48">
        <v>12499</v>
      </c>
      <c r="C234" s="44">
        <v>452538</v>
      </c>
      <c r="D234" s="97" t="s">
        <v>256</v>
      </c>
      <c r="E234" s="45" t="s">
        <v>45</v>
      </c>
      <c r="F234" s="53">
        <v>2000</v>
      </c>
      <c r="G234" s="53" t="s">
        <v>31</v>
      </c>
      <c r="H234" s="12">
        <v>95</v>
      </c>
      <c r="I234" s="46">
        <f t="shared" si="10"/>
        <v>103.63636363636364</v>
      </c>
      <c r="J234" s="76">
        <f t="shared" si="12"/>
        <v>1.1000000000000001</v>
      </c>
      <c r="K234" s="77">
        <v>0.1</v>
      </c>
      <c r="L234" s="122">
        <v>200</v>
      </c>
      <c r="M234" s="139" t="s">
        <v>31</v>
      </c>
    </row>
    <row r="235" spans="1:13" ht="118.5" customHeight="1" x14ac:dyDescent="0.2">
      <c r="A235" s="43">
        <v>230</v>
      </c>
      <c r="B235" s="48">
        <v>12500</v>
      </c>
      <c r="C235" s="44">
        <v>435978</v>
      </c>
      <c r="D235" s="97" t="s">
        <v>257</v>
      </c>
      <c r="E235" s="45" t="s">
        <v>45</v>
      </c>
      <c r="F235" s="53">
        <v>3036</v>
      </c>
      <c r="G235" s="53" t="s">
        <v>31</v>
      </c>
      <c r="H235" s="12">
        <v>366</v>
      </c>
      <c r="I235" s="46">
        <f t="shared" si="10"/>
        <v>399.27272727272725</v>
      </c>
      <c r="J235" s="76">
        <f t="shared" si="12"/>
        <v>1.1000000000000001</v>
      </c>
      <c r="K235" s="77">
        <v>0.1</v>
      </c>
      <c r="L235" s="122">
        <v>500</v>
      </c>
      <c r="M235" s="139" t="s">
        <v>31</v>
      </c>
    </row>
    <row r="236" spans="1:13" ht="118.5" customHeight="1" x14ac:dyDescent="0.2">
      <c r="A236" s="43">
        <v>231</v>
      </c>
      <c r="B236" s="48">
        <v>12501</v>
      </c>
      <c r="C236" s="44">
        <v>435979</v>
      </c>
      <c r="D236" s="97" t="s">
        <v>258</v>
      </c>
      <c r="E236" s="45" t="s">
        <v>45</v>
      </c>
      <c r="F236" s="53">
        <v>3036</v>
      </c>
      <c r="G236" s="53" t="s">
        <v>31</v>
      </c>
      <c r="H236" s="12">
        <v>2027</v>
      </c>
      <c r="I236" s="46">
        <f t="shared" si="10"/>
        <v>2211.2727272727275</v>
      </c>
      <c r="J236" s="76">
        <f t="shared" si="12"/>
        <v>1.1000000000000001</v>
      </c>
      <c r="K236" s="77">
        <v>0.1</v>
      </c>
      <c r="L236" s="46">
        <v>2500</v>
      </c>
      <c r="M236" s="139" t="s">
        <v>31</v>
      </c>
    </row>
    <row r="237" spans="1:13" ht="118.5" customHeight="1" x14ac:dyDescent="0.2">
      <c r="A237" s="43">
        <v>232</v>
      </c>
      <c r="B237" s="48">
        <v>12502</v>
      </c>
      <c r="C237" s="44">
        <v>435980</v>
      </c>
      <c r="D237" s="97" t="s">
        <v>259</v>
      </c>
      <c r="E237" s="45" t="s">
        <v>45</v>
      </c>
      <c r="F237" s="53">
        <v>6600</v>
      </c>
      <c r="G237" s="53" t="s">
        <v>31</v>
      </c>
      <c r="H237" s="12">
        <v>3400</v>
      </c>
      <c r="I237" s="46">
        <f t="shared" si="10"/>
        <v>3709.090909090909</v>
      </c>
      <c r="J237" s="76">
        <f t="shared" si="12"/>
        <v>1.1000000000000001</v>
      </c>
      <c r="K237" s="77">
        <v>0.1</v>
      </c>
      <c r="L237" s="46">
        <f t="shared" si="11"/>
        <v>4080</v>
      </c>
      <c r="M237" s="139" t="s">
        <v>31</v>
      </c>
    </row>
    <row r="238" spans="1:13" ht="118.5" customHeight="1" x14ac:dyDescent="0.2">
      <c r="A238" s="43">
        <v>233</v>
      </c>
      <c r="B238" s="48">
        <v>12503</v>
      </c>
      <c r="C238" s="44">
        <v>435981</v>
      </c>
      <c r="D238" s="97" t="s">
        <v>260</v>
      </c>
      <c r="E238" s="45" t="s">
        <v>45</v>
      </c>
      <c r="F238" s="53">
        <v>4620</v>
      </c>
      <c r="G238" s="53" t="s">
        <v>31</v>
      </c>
      <c r="H238" s="12">
        <v>1959</v>
      </c>
      <c r="I238" s="46">
        <f t="shared" si="10"/>
        <v>2137.090909090909</v>
      </c>
      <c r="J238" s="76">
        <f t="shared" si="12"/>
        <v>1.1000000000000001</v>
      </c>
      <c r="K238" s="77">
        <v>0.1</v>
      </c>
      <c r="L238" s="46">
        <v>3920</v>
      </c>
      <c r="M238" s="139" t="s">
        <v>31</v>
      </c>
    </row>
    <row r="239" spans="1:13" ht="118.5" customHeight="1" x14ac:dyDescent="0.2">
      <c r="A239" s="43">
        <v>234</v>
      </c>
      <c r="B239" s="48">
        <v>12504</v>
      </c>
      <c r="C239" s="44">
        <v>435977</v>
      </c>
      <c r="D239" s="97" t="s">
        <v>261</v>
      </c>
      <c r="E239" s="45" t="s">
        <v>45</v>
      </c>
      <c r="F239" s="53">
        <v>528</v>
      </c>
      <c r="G239" s="53" t="s">
        <v>31</v>
      </c>
      <c r="H239" s="12">
        <v>176</v>
      </c>
      <c r="I239" s="46">
        <f t="shared" si="10"/>
        <v>192</v>
      </c>
      <c r="J239" s="76">
        <f t="shared" si="12"/>
        <v>1.1000000000000001</v>
      </c>
      <c r="K239" s="77">
        <v>0.1</v>
      </c>
      <c r="L239" s="122">
        <v>500</v>
      </c>
      <c r="M239" s="139" t="s">
        <v>31</v>
      </c>
    </row>
    <row r="240" spans="1:13" ht="118.5" customHeight="1" x14ac:dyDescent="0.2">
      <c r="A240" s="43">
        <v>235</v>
      </c>
      <c r="B240" s="48">
        <v>12505</v>
      </c>
      <c r="C240" s="44">
        <v>437441</v>
      </c>
      <c r="D240" s="97" t="s">
        <v>262</v>
      </c>
      <c r="E240" s="45" t="s">
        <v>45</v>
      </c>
      <c r="F240" s="53">
        <v>528</v>
      </c>
      <c r="G240" s="53" t="s">
        <v>31</v>
      </c>
      <c r="H240" s="12">
        <v>486</v>
      </c>
      <c r="I240" s="46">
        <f t="shared" si="10"/>
        <v>530.18181818181813</v>
      </c>
      <c r="J240" s="76">
        <f t="shared" si="12"/>
        <v>1.1000000000000001</v>
      </c>
      <c r="K240" s="77">
        <v>0.1</v>
      </c>
      <c r="L240" s="46">
        <v>580</v>
      </c>
      <c r="M240" s="139" t="s">
        <v>31</v>
      </c>
    </row>
    <row r="241" spans="1:13" ht="118.5" customHeight="1" x14ac:dyDescent="0.2">
      <c r="A241" s="43">
        <v>236</v>
      </c>
      <c r="B241" s="48">
        <v>12506</v>
      </c>
      <c r="C241" s="44">
        <v>437438</v>
      </c>
      <c r="D241" s="97" t="s">
        <v>263</v>
      </c>
      <c r="E241" s="45" t="s">
        <v>45</v>
      </c>
      <c r="F241" s="53">
        <v>528</v>
      </c>
      <c r="G241" s="53" t="s">
        <v>31</v>
      </c>
      <c r="H241" s="53">
        <v>13</v>
      </c>
      <c r="I241" s="46">
        <f t="shared" si="10"/>
        <v>14.181818181818183</v>
      </c>
      <c r="J241" s="123">
        <f t="shared" si="12"/>
        <v>1.1000000000000001</v>
      </c>
      <c r="K241" s="124">
        <v>0.1</v>
      </c>
      <c r="L241" s="122">
        <v>100</v>
      </c>
      <c r="M241" s="139" t="s">
        <v>31</v>
      </c>
    </row>
    <row r="242" spans="1:13" ht="118.5" customHeight="1" x14ac:dyDescent="0.2">
      <c r="A242" s="43">
        <v>237</v>
      </c>
      <c r="B242" s="48">
        <v>12507</v>
      </c>
      <c r="C242" s="44">
        <v>437444</v>
      </c>
      <c r="D242" s="97" t="s">
        <v>264</v>
      </c>
      <c r="E242" s="45" t="s">
        <v>45</v>
      </c>
      <c r="F242" s="53">
        <v>528</v>
      </c>
      <c r="G242" s="53" t="s">
        <v>31</v>
      </c>
      <c r="H242" s="12">
        <v>0</v>
      </c>
      <c r="I242" s="46">
        <f t="shared" si="10"/>
        <v>0</v>
      </c>
      <c r="J242" s="76">
        <f t="shared" si="12"/>
        <v>1.1000000000000001</v>
      </c>
      <c r="K242" s="77">
        <v>0.1</v>
      </c>
      <c r="L242" s="122">
        <v>100</v>
      </c>
      <c r="M242" s="139" t="s">
        <v>31</v>
      </c>
    </row>
    <row r="243" spans="1:13" ht="130.5" customHeight="1" x14ac:dyDescent="0.2">
      <c r="A243" s="43">
        <v>238</v>
      </c>
      <c r="B243" s="48">
        <v>12508</v>
      </c>
      <c r="C243" s="49" t="s">
        <v>31</v>
      </c>
      <c r="D243" s="97" t="s">
        <v>265</v>
      </c>
      <c r="E243" s="45" t="s">
        <v>45</v>
      </c>
      <c r="F243" s="53">
        <v>528</v>
      </c>
      <c r="G243" s="53" t="s">
        <v>31</v>
      </c>
      <c r="H243" s="12">
        <v>0</v>
      </c>
      <c r="I243" s="46">
        <f t="shared" si="10"/>
        <v>0</v>
      </c>
      <c r="J243" s="76">
        <f t="shared" si="12"/>
        <v>1.1000000000000001</v>
      </c>
      <c r="K243" s="77">
        <v>0.1</v>
      </c>
      <c r="L243" s="122">
        <v>100</v>
      </c>
      <c r="M243" s="139" t="s">
        <v>31</v>
      </c>
    </row>
    <row r="244" spans="1:13" ht="118.5" customHeight="1" x14ac:dyDescent="0.2">
      <c r="A244" s="43">
        <v>239</v>
      </c>
      <c r="B244" s="48">
        <v>12509</v>
      </c>
      <c r="C244" s="44">
        <v>454391</v>
      </c>
      <c r="D244" s="97" t="s">
        <v>266</v>
      </c>
      <c r="E244" s="45" t="s">
        <v>45</v>
      </c>
      <c r="F244" s="53">
        <v>500</v>
      </c>
      <c r="G244" s="53" t="s">
        <v>31</v>
      </c>
      <c r="H244" s="12">
        <v>0</v>
      </c>
      <c r="I244" s="46">
        <f t="shared" si="10"/>
        <v>0</v>
      </c>
      <c r="J244" s="76">
        <f t="shared" si="12"/>
        <v>1.1000000000000001</v>
      </c>
      <c r="K244" s="77">
        <v>0.1</v>
      </c>
      <c r="L244" s="122">
        <v>200</v>
      </c>
      <c r="M244" s="139" t="s">
        <v>31</v>
      </c>
    </row>
    <row r="245" spans="1:13" ht="144.75" customHeight="1" x14ac:dyDescent="0.2">
      <c r="A245" s="43">
        <v>240</v>
      </c>
      <c r="B245" s="48">
        <v>12510</v>
      </c>
      <c r="C245" s="44">
        <v>454406</v>
      </c>
      <c r="D245" s="97" t="s">
        <v>267</v>
      </c>
      <c r="E245" s="45" t="s">
        <v>45</v>
      </c>
      <c r="F245" s="53">
        <v>2000</v>
      </c>
      <c r="G245" s="53" t="s">
        <v>31</v>
      </c>
      <c r="H245" s="12">
        <v>0</v>
      </c>
      <c r="I245" s="46">
        <f t="shared" si="10"/>
        <v>0</v>
      </c>
      <c r="J245" s="76">
        <f t="shared" si="12"/>
        <v>1.1000000000000001</v>
      </c>
      <c r="K245" s="77">
        <v>0.1</v>
      </c>
      <c r="L245" s="46">
        <v>500</v>
      </c>
      <c r="M245" s="139" t="s">
        <v>31</v>
      </c>
    </row>
    <row r="246" spans="1:13" s="92" customFormat="1" ht="146.25" customHeight="1" x14ac:dyDescent="0.2">
      <c r="A246" s="43">
        <v>241</v>
      </c>
      <c r="B246" s="48">
        <v>12880</v>
      </c>
      <c r="C246" s="48">
        <v>454404</v>
      </c>
      <c r="D246" s="99" t="s">
        <v>268</v>
      </c>
      <c r="E246" s="47" t="s">
        <v>45</v>
      </c>
      <c r="F246" s="53">
        <v>2508</v>
      </c>
      <c r="G246" s="53" t="s">
        <v>31</v>
      </c>
      <c r="H246" s="53">
        <v>0</v>
      </c>
      <c r="I246" s="46">
        <f t="shared" si="10"/>
        <v>0</v>
      </c>
      <c r="J246" s="123">
        <f t="shared" si="12"/>
        <v>1.1000000000000001</v>
      </c>
      <c r="K246" s="124">
        <v>0.1</v>
      </c>
      <c r="L246" s="122">
        <v>1500</v>
      </c>
      <c r="M246" s="139" t="s">
        <v>31</v>
      </c>
    </row>
    <row r="247" spans="1:13" s="92" customFormat="1" ht="148.5" customHeight="1" x14ac:dyDescent="0.2">
      <c r="A247" s="43">
        <v>242</v>
      </c>
      <c r="B247" s="48">
        <v>12512</v>
      </c>
      <c r="C247" s="48">
        <v>454405</v>
      </c>
      <c r="D247" s="99" t="s">
        <v>269</v>
      </c>
      <c r="E247" s="47" t="s">
        <v>45</v>
      </c>
      <c r="F247" s="53">
        <v>3000</v>
      </c>
      <c r="G247" s="53" t="s">
        <v>31</v>
      </c>
      <c r="H247" s="53">
        <v>0</v>
      </c>
      <c r="I247" s="46">
        <f t="shared" si="10"/>
        <v>0</v>
      </c>
      <c r="J247" s="123">
        <f t="shared" si="12"/>
        <v>1.1000000000000001</v>
      </c>
      <c r="K247" s="124">
        <v>0.1</v>
      </c>
      <c r="L247" s="122">
        <v>150</v>
      </c>
      <c r="M247" s="139" t="s">
        <v>31</v>
      </c>
    </row>
    <row r="248" spans="1:13" s="92" customFormat="1" ht="118.5" customHeight="1" x14ac:dyDescent="0.2">
      <c r="A248" s="43">
        <v>243</v>
      </c>
      <c r="B248" s="48">
        <v>12513</v>
      </c>
      <c r="C248" s="48">
        <v>454402</v>
      </c>
      <c r="D248" s="99" t="s">
        <v>270</v>
      </c>
      <c r="E248" s="47" t="s">
        <v>45</v>
      </c>
      <c r="F248" s="53">
        <v>1716</v>
      </c>
      <c r="G248" s="53" t="s">
        <v>31</v>
      </c>
      <c r="H248" s="53">
        <v>0</v>
      </c>
      <c r="I248" s="46">
        <f t="shared" si="10"/>
        <v>0</v>
      </c>
      <c r="J248" s="123">
        <f t="shared" si="12"/>
        <v>1.1000000000000001</v>
      </c>
      <c r="K248" s="124">
        <v>0.1</v>
      </c>
      <c r="L248" s="122">
        <v>1500</v>
      </c>
      <c r="M248" s="139" t="s">
        <v>31</v>
      </c>
    </row>
    <row r="249" spans="1:13" s="92" customFormat="1" ht="118.5" customHeight="1" x14ac:dyDescent="0.2">
      <c r="A249" s="43">
        <v>244</v>
      </c>
      <c r="B249" s="48">
        <v>12514</v>
      </c>
      <c r="C249" s="48">
        <v>454403</v>
      </c>
      <c r="D249" s="99" t="s">
        <v>271</v>
      </c>
      <c r="E249" s="47" t="s">
        <v>45</v>
      </c>
      <c r="F249" s="53">
        <v>500</v>
      </c>
      <c r="G249" s="53" t="s">
        <v>31</v>
      </c>
      <c r="H249" s="53">
        <v>0</v>
      </c>
      <c r="I249" s="46">
        <f t="shared" si="10"/>
        <v>0</v>
      </c>
      <c r="J249" s="123">
        <f t="shared" si="12"/>
        <v>1.1000000000000001</v>
      </c>
      <c r="K249" s="124">
        <v>0.1</v>
      </c>
      <c r="L249" s="122">
        <v>500</v>
      </c>
      <c r="M249" s="139" t="s">
        <v>31</v>
      </c>
    </row>
    <row r="250" spans="1:13" s="92" customFormat="1" ht="142.5" customHeight="1" x14ac:dyDescent="0.2">
      <c r="A250" s="43">
        <v>245</v>
      </c>
      <c r="B250" s="48">
        <v>12515</v>
      </c>
      <c r="C250" s="48" t="s">
        <v>31</v>
      </c>
      <c r="D250" s="99" t="s">
        <v>272</v>
      </c>
      <c r="E250" s="47" t="s">
        <v>45</v>
      </c>
      <c r="F250" s="53">
        <v>500</v>
      </c>
      <c r="G250" s="53" t="s">
        <v>31</v>
      </c>
      <c r="H250" s="53">
        <v>0</v>
      </c>
      <c r="I250" s="46">
        <f t="shared" si="10"/>
        <v>0</v>
      </c>
      <c r="J250" s="123">
        <f t="shared" si="12"/>
        <v>1.1000000000000001</v>
      </c>
      <c r="K250" s="124">
        <v>0.1</v>
      </c>
      <c r="L250" s="122">
        <v>500</v>
      </c>
      <c r="M250" s="139" t="s">
        <v>31</v>
      </c>
    </row>
    <row r="251" spans="1:13" s="92" customFormat="1" ht="127.5" x14ac:dyDescent="0.2">
      <c r="A251" s="43">
        <v>246</v>
      </c>
      <c r="B251" s="48">
        <v>16342</v>
      </c>
      <c r="C251" s="48" t="s">
        <v>31</v>
      </c>
      <c r="D251" s="99" t="s">
        <v>876</v>
      </c>
      <c r="E251" s="47" t="s">
        <v>45</v>
      </c>
      <c r="F251" s="53">
        <v>40</v>
      </c>
      <c r="G251" s="53" t="s">
        <v>31</v>
      </c>
      <c r="H251" s="53">
        <v>0</v>
      </c>
      <c r="I251" s="46">
        <f t="shared" si="10"/>
        <v>0</v>
      </c>
      <c r="J251" s="123">
        <f t="shared" si="12"/>
        <v>1.1000000000000001</v>
      </c>
      <c r="K251" s="124">
        <v>0.1</v>
      </c>
      <c r="L251" s="46">
        <v>40</v>
      </c>
      <c r="M251" s="139" t="s">
        <v>31</v>
      </c>
    </row>
    <row r="252" spans="1:13" s="92" customFormat="1" ht="118.5" customHeight="1" x14ac:dyDescent="0.2">
      <c r="A252" s="43">
        <v>247</v>
      </c>
      <c r="B252" s="48">
        <v>16343</v>
      </c>
      <c r="C252" s="48" t="s">
        <v>31</v>
      </c>
      <c r="D252" s="99" t="s">
        <v>877</v>
      </c>
      <c r="E252" s="47" t="s">
        <v>45</v>
      </c>
      <c r="F252" s="53">
        <v>92</v>
      </c>
      <c r="G252" s="53" t="s">
        <v>31</v>
      </c>
      <c r="H252" s="53">
        <v>0</v>
      </c>
      <c r="I252" s="46">
        <f t="shared" si="10"/>
        <v>0</v>
      </c>
      <c r="J252" s="123">
        <f t="shared" si="12"/>
        <v>1.1000000000000001</v>
      </c>
      <c r="K252" s="124">
        <v>0.1</v>
      </c>
      <c r="L252" s="46">
        <v>90</v>
      </c>
      <c r="M252" s="139" t="s">
        <v>31</v>
      </c>
    </row>
    <row r="253" spans="1:13" s="92" customFormat="1" ht="118.5" customHeight="1" x14ac:dyDescent="0.2">
      <c r="A253" s="43">
        <v>248</v>
      </c>
      <c r="B253" s="48">
        <v>16344</v>
      </c>
      <c r="C253" s="48">
        <v>454391</v>
      </c>
      <c r="D253" s="99" t="s">
        <v>878</v>
      </c>
      <c r="E253" s="47" t="s">
        <v>45</v>
      </c>
      <c r="F253" s="53">
        <v>119</v>
      </c>
      <c r="G253" s="53" t="s">
        <v>31</v>
      </c>
      <c r="H253" s="53">
        <v>0</v>
      </c>
      <c r="I253" s="46">
        <f t="shared" si="10"/>
        <v>0</v>
      </c>
      <c r="J253" s="123">
        <f t="shared" si="12"/>
        <v>1.1000000000000001</v>
      </c>
      <c r="K253" s="124">
        <v>0.1</v>
      </c>
      <c r="L253" s="46">
        <v>120</v>
      </c>
      <c r="M253" s="139" t="s">
        <v>31</v>
      </c>
    </row>
    <row r="254" spans="1:13" s="92" customFormat="1" ht="118.5" customHeight="1" x14ac:dyDescent="0.2">
      <c r="A254" s="43">
        <v>249</v>
      </c>
      <c r="B254" s="48">
        <v>16345</v>
      </c>
      <c r="C254" s="48" t="s">
        <v>31</v>
      </c>
      <c r="D254" s="99" t="s">
        <v>879</v>
      </c>
      <c r="E254" s="47" t="s">
        <v>45</v>
      </c>
      <c r="F254" s="53">
        <v>145</v>
      </c>
      <c r="G254" s="53" t="s">
        <v>31</v>
      </c>
      <c r="H254" s="53">
        <v>105</v>
      </c>
      <c r="I254" s="46">
        <f t="shared" si="10"/>
        <v>114.54545454545453</v>
      </c>
      <c r="J254" s="123">
        <f t="shared" si="12"/>
        <v>1.1000000000000001</v>
      </c>
      <c r="K254" s="124">
        <v>0.1</v>
      </c>
      <c r="L254" s="122">
        <v>200</v>
      </c>
      <c r="M254" s="139" t="s">
        <v>31</v>
      </c>
    </row>
    <row r="255" spans="1:13" s="92" customFormat="1" ht="118.5" customHeight="1" x14ac:dyDescent="0.2">
      <c r="A255" s="43">
        <v>250</v>
      </c>
      <c r="B255" s="48">
        <v>16346</v>
      </c>
      <c r="C255" s="48">
        <v>454406</v>
      </c>
      <c r="D255" s="99" t="s">
        <v>880</v>
      </c>
      <c r="E255" s="47" t="s">
        <v>45</v>
      </c>
      <c r="F255" s="53">
        <v>250</v>
      </c>
      <c r="G255" s="53" t="s">
        <v>31</v>
      </c>
      <c r="H255" s="53">
        <v>0</v>
      </c>
      <c r="I255" s="46">
        <f t="shared" si="10"/>
        <v>0</v>
      </c>
      <c r="J255" s="123">
        <f t="shared" si="12"/>
        <v>1.1000000000000001</v>
      </c>
      <c r="K255" s="124">
        <v>0.1</v>
      </c>
      <c r="L255" s="122">
        <v>50</v>
      </c>
      <c r="M255" s="139" t="s">
        <v>31</v>
      </c>
    </row>
    <row r="256" spans="1:13" s="92" customFormat="1" ht="118.5" customHeight="1" x14ac:dyDescent="0.2">
      <c r="A256" s="43">
        <v>251</v>
      </c>
      <c r="B256" s="48">
        <v>16347</v>
      </c>
      <c r="C256" s="48" t="s">
        <v>31</v>
      </c>
      <c r="D256" s="99" t="s">
        <v>881</v>
      </c>
      <c r="E256" s="47" t="s">
        <v>45</v>
      </c>
      <c r="F256" s="53">
        <v>26</v>
      </c>
      <c r="G256" s="53" t="s">
        <v>31</v>
      </c>
      <c r="H256" s="53">
        <v>10</v>
      </c>
      <c r="I256" s="46">
        <f t="shared" si="10"/>
        <v>10.909090909090908</v>
      </c>
      <c r="J256" s="123">
        <f t="shared" si="12"/>
        <v>1.1000000000000001</v>
      </c>
      <c r="K256" s="124">
        <v>0.1</v>
      </c>
      <c r="L256" s="122">
        <v>20</v>
      </c>
      <c r="M256" s="139" t="s">
        <v>31</v>
      </c>
    </row>
    <row r="257" spans="1:13" s="92" customFormat="1" ht="143.25" customHeight="1" x14ac:dyDescent="0.2">
      <c r="A257" s="43">
        <v>252</v>
      </c>
      <c r="B257" s="48">
        <v>16348</v>
      </c>
      <c r="C257" s="48" t="s">
        <v>31</v>
      </c>
      <c r="D257" s="99" t="s">
        <v>882</v>
      </c>
      <c r="E257" s="47" t="s">
        <v>45</v>
      </c>
      <c r="F257" s="53">
        <v>25</v>
      </c>
      <c r="G257" s="53" t="s">
        <v>31</v>
      </c>
      <c r="H257" s="53">
        <v>0</v>
      </c>
      <c r="I257" s="46">
        <f t="shared" si="10"/>
        <v>0</v>
      </c>
      <c r="J257" s="123">
        <f t="shared" si="12"/>
        <v>1.1000000000000001</v>
      </c>
      <c r="K257" s="124">
        <v>0.1</v>
      </c>
      <c r="L257" s="122">
        <v>20</v>
      </c>
      <c r="M257" s="139" t="s">
        <v>31</v>
      </c>
    </row>
    <row r="258" spans="1:13" ht="118.5" customHeight="1" x14ac:dyDescent="0.2">
      <c r="A258" s="43">
        <v>253</v>
      </c>
      <c r="B258" s="48">
        <v>12523</v>
      </c>
      <c r="C258" s="44">
        <v>435905</v>
      </c>
      <c r="D258" s="97" t="s">
        <v>273</v>
      </c>
      <c r="E258" s="45" t="s">
        <v>45</v>
      </c>
      <c r="F258" s="53">
        <v>10</v>
      </c>
      <c r="G258" s="53" t="s">
        <v>31</v>
      </c>
      <c r="H258" s="12">
        <v>0</v>
      </c>
      <c r="I258" s="46">
        <f t="shared" si="10"/>
        <v>0</v>
      </c>
      <c r="J258" s="76">
        <f t="shared" si="12"/>
        <v>1.1000000000000001</v>
      </c>
      <c r="K258" s="77">
        <v>0.1</v>
      </c>
      <c r="L258" s="122">
        <v>20</v>
      </c>
      <c r="M258" s="139" t="s">
        <v>31</v>
      </c>
    </row>
    <row r="259" spans="1:13" ht="118.5" customHeight="1" x14ac:dyDescent="0.2">
      <c r="A259" s="43">
        <v>254</v>
      </c>
      <c r="B259" s="48">
        <v>12524</v>
      </c>
      <c r="C259" s="44">
        <v>435903</v>
      </c>
      <c r="D259" s="97" t="s">
        <v>274</v>
      </c>
      <c r="E259" s="45" t="s">
        <v>45</v>
      </c>
      <c r="F259" s="53">
        <v>66</v>
      </c>
      <c r="G259" s="53" t="s">
        <v>31</v>
      </c>
      <c r="H259" s="12">
        <v>20</v>
      </c>
      <c r="I259" s="46">
        <f t="shared" si="10"/>
        <v>21.818181818181817</v>
      </c>
      <c r="J259" s="76">
        <f t="shared" si="12"/>
        <v>1.1000000000000001</v>
      </c>
      <c r="K259" s="77">
        <v>0.1</v>
      </c>
      <c r="L259" s="46">
        <v>20</v>
      </c>
      <c r="M259" s="139" t="s">
        <v>31</v>
      </c>
    </row>
    <row r="260" spans="1:13" ht="118.5" customHeight="1" x14ac:dyDescent="0.2">
      <c r="A260" s="43">
        <v>255</v>
      </c>
      <c r="B260" s="48">
        <v>12525</v>
      </c>
      <c r="C260" s="44">
        <v>437216</v>
      </c>
      <c r="D260" s="97" t="s">
        <v>889</v>
      </c>
      <c r="E260" s="45" t="s">
        <v>45</v>
      </c>
      <c r="F260" s="53">
        <v>25</v>
      </c>
      <c r="G260" s="53" t="s">
        <v>31</v>
      </c>
      <c r="H260" s="12">
        <v>24</v>
      </c>
      <c r="I260" s="46">
        <f t="shared" si="10"/>
        <v>26.18181818181818</v>
      </c>
      <c r="J260" s="76">
        <f t="shared" si="12"/>
        <v>1.1000000000000001</v>
      </c>
      <c r="K260" s="77">
        <v>0.1</v>
      </c>
      <c r="L260" s="46">
        <v>30</v>
      </c>
      <c r="M260" s="139" t="s">
        <v>31</v>
      </c>
    </row>
    <row r="261" spans="1:13" ht="118.5" customHeight="1" x14ac:dyDescent="0.2">
      <c r="A261" s="43">
        <v>256</v>
      </c>
      <c r="B261" s="48">
        <v>12526</v>
      </c>
      <c r="C261" s="44">
        <v>435904</v>
      </c>
      <c r="D261" s="97" t="s">
        <v>275</v>
      </c>
      <c r="E261" s="45" t="s">
        <v>45</v>
      </c>
      <c r="F261" s="53">
        <v>66</v>
      </c>
      <c r="G261" s="53" t="s">
        <v>31</v>
      </c>
      <c r="H261" s="12">
        <v>5</v>
      </c>
      <c r="I261" s="46">
        <f t="shared" si="10"/>
        <v>5.4545454545454541</v>
      </c>
      <c r="J261" s="76">
        <f t="shared" si="12"/>
        <v>1.1000000000000001</v>
      </c>
      <c r="K261" s="77">
        <v>0.1</v>
      </c>
      <c r="L261" s="122">
        <v>20</v>
      </c>
      <c r="M261" s="139" t="s">
        <v>31</v>
      </c>
    </row>
    <row r="262" spans="1:13" ht="118.5" customHeight="1" x14ac:dyDescent="0.2">
      <c r="A262" s="43">
        <v>257</v>
      </c>
      <c r="B262" s="48">
        <v>12527</v>
      </c>
      <c r="C262" s="44">
        <v>437217</v>
      </c>
      <c r="D262" s="97" t="s">
        <v>276</v>
      </c>
      <c r="E262" s="45" t="s">
        <v>45</v>
      </c>
      <c r="F262" s="53">
        <v>50</v>
      </c>
      <c r="G262" s="53" t="s">
        <v>31</v>
      </c>
      <c r="H262" s="12">
        <v>4</v>
      </c>
      <c r="I262" s="46">
        <f t="shared" si="10"/>
        <v>4.3636363636363633</v>
      </c>
      <c r="J262" s="76">
        <f t="shared" si="12"/>
        <v>1.1000000000000001</v>
      </c>
      <c r="K262" s="77">
        <v>0.1</v>
      </c>
      <c r="L262" s="122">
        <v>20</v>
      </c>
      <c r="M262" s="139" t="s">
        <v>31</v>
      </c>
    </row>
    <row r="263" spans="1:13" ht="118.5" customHeight="1" x14ac:dyDescent="0.2">
      <c r="A263" s="43">
        <v>258</v>
      </c>
      <c r="B263" s="48">
        <v>12528</v>
      </c>
      <c r="C263" s="44">
        <v>438396</v>
      </c>
      <c r="D263" s="97" t="s">
        <v>277</v>
      </c>
      <c r="E263" s="45" t="s">
        <v>45</v>
      </c>
      <c r="F263" s="53">
        <v>132</v>
      </c>
      <c r="G263" s="53" t="s">
        <v>31</v>
      </c>
      <c r="H263" s="12">
        <v>0</v>
      </c>
      <c r="I263" s="46">
        <f t="shared" ref="I263:I309" si="13">(H263/11)*12</f>
        <v>0</v>
      </c>
      <c r="J263" s="76">
        <f t="shared" si="12"/>
        <v>1.1000000000000001</v>
      </c>
      <c r="K263" s="77">
        <v>0.1</v>
      </c>
      <c r="L263" s="122">
        <v>20</v>
      </c>
      <c r="M263" s="139" t="s">
        <v>31</v>
      </c>
    </row>
    <row r="264" spans="1:13" ht="118.5" customHeight="1" x14ac:dyDescent="0.2">
      <c r="A264" s="43">
        <v>259</v>
      </c>
      <c r="B264" s="48">
        <v>12529</v>
      </c>
      <c r="C264" s="44">
        <v>435906</v>
      </c>
      <c r="D264" s="97" t="s">
        <v>278</v>
      </c>
      <c r="E264" s="45" t="s">
        <v>45</v>
      </c>
      <c r="F264" s="53">
        <v>132</v>
      </c>
      <c r="G264" s="53" t="s">
        <v>31</v>
      </c>
      <c r="H264" s="12">
        <v>0</v>
      </c>
      <c r="I264" s="46">
        <f t="shared" si="13"/>
        <v>0</v>
      </c>
      <c r="J264" s="76">
        <f t="shared" si="12"/>
        <v>1.1000000000000001</v>
      </c>
      <c r="K264" s="77">
        <v>0.1</v>
      </c>
      <c r="L264" s="122">
        <v>20</v>
      </c>
      <c r="M264" s="139" t="s">
        <v>31</v>
      </c>
    </row>
    <row r="265" spans="1:13" ht="118.5" customHeight="1" x14ac:dyDescent="0.2">
      <c r="A265" s="43">
        <v>260</v>
      </c>
      <c r="B265" s="48">
        <v>12530</v>
      </c>
      <c r="C265" s="44">
        <v>435907</v>
      </c>
      <c r="D265" s="97" t="s">
        <v>279</v>
      </c>
      <c r="E265" s="45" t="s">
        <v>45</v>
      </c>
      <c r="F265" s="53">
        <v>100</v>
      </c>
      <c r="G265" s="53" t="s">
        <v>31</v>
      </c>
      <c r="H265" s="12">
        <v>0</v>
      </c>
      <c r="I265" s="46">
        <f t="shared" si="13"/>
        <v>0</v>
      </c>
      <c r="J265" s="76">
        <f t="shared" si="12"/>
        <v>1.1000000000000001</v>
      </c>
      <c r="K265" s="77">
        <v>0.1</v>
      </c>
      <c r="L265" s="122">
        <v>20</v>
      </c>
      <c r="M265" s="139" t="s">
        <v>31</v>
      </c>
    </row>
    <row r="266" spans="1:13" ht="118.5" customHeight="1" x14ac:dyDescent="0.2">
      <c r="A266" s="43">
        <v>261</v>
      </c>
      <c r="B266" s="48">
        <v>12531</v>
      </c>
      <c r="C266" s="44">
        <v>435908</v>
      </c>
      <c r="D266" s="97" t="s">
        <v>280</v>
      </c>
      <c r="E266" s="45" t="s">
        <v>45</v>
      </c>
      <c r="F266" s="53">
        <v>66</v>
      </c>
      <c r="G266" s="53" t="s">
        <v>31</v>
      </c>
      <c r="H266" s="12">
        <v>0</v>
      </c>
      <c r="I266" s="46">
        <f t="shared" si="13"/>
        <v>0</v>
      </c>
      <c r="J266" s="76">
        <f t="shared" si="12"/>
        <v>1.1000000000000001</v>
      </c>
      <c r="K266" s="77">
        <v>0.1</v>
      </c>
      <c r="L266" s="122">
        <v>20</v>
      </c>
      <c r="M266" s="139" t="s">
        <v>31</v>
      </c>
    </row>
    <row r="267" spans="1:13" ht="118.5" customHeight="1" x14ac:dyDescent="0.2">
      <c r="A267" s="43">
        <v>262</v>
      </c>
      <c r="B267" s="48">
        <v>12532</v>
      </c>
      <c r="C267" s="44">
        <v>435909</v>
      </c>
      <c r="D267" s="97" t="s">
        <v>281</v>
      </c>
      <c r="E267" s="45" t="s">
        <v>45</v>
      </c>
      <c r="F267" s="53">
        <v>50</v>
      </c>
      <c r="G267" s="53" t="s">
        <v>31</v>
      </c>
      <c r="H267" s="12">
        <v>15</v>
      </c>
      <c r="I267" s="46">
        <f t="shared" si="13"/>
        <v>16.363636363636363</v>
      </c>
      <c r="J267" s="76">
        <f t="shared" si="12"/>
        <v>1.1000000000000001</v>
      </c>
      <c r="K267" s="77">
        <v>0.1</v>
      </c>
      <c r="L267" s="122">
        <v>20</v>
      </c>
      <c r="M267" s="139" t="s">
        <v>31</v>
      </c>
    </row>
    <row r="268" spans="1:13" ht="118.5" customHeight="1" x14ac:dyDescent="0.2">
      <c r="A268" s="43">
        <v>263</v>
      </c>
      <c r="B268" s="48">
        <v>12533</v>
      </c>
      <c r="C268" s="44">
        <v>435910</v>
      </c>
      <c r="D268" s="97" t="s">
        <v>282</v>
      </c>
      <c r="E268" s="45" t="s">
        <v>45</v>
      </c>
      <c r="F268" s="53">
        <v>66</v>
      </c>
      <c r="G268" s="53" t="s">
        <v>31</v>
      </c>
      <c r="H268" s="12">
        <v>17</v>
      </c>
      <c r="I268" s="46">
        <f t="shared" si="13"/>
        <v>18.545454545454547</v>
      </c>
      <c r="J268" s="76">
        <f t="shared" si="12"/>
        <v>1.1000000000000001</v>
      </c>
      <c r="K268" s="77">
        <v>0.1</v>
      </c>
      <c r="L268" s="46">
        <f t="shared" ref="L268:L302" si="14">ROUND(I268*J268,)</f>
        <v>20</v>
      </c>
      <c r="M268" s="139" t="s">
        <v>31</v>
      </c>
    </row>
    <row r="269" spans="1:13" ht="118.5" customHeight="1" x14ac:dyDescent="0.2">
      <c r="A269" s="43">
        <v>264</v>
      </c>
      <c r="B269" s="48">
        <v>12534</v>
      </c>
      <c r="C269" s="44">
        <v>435911</v>
      </c>
      <c r="D269" s="97" t="s">
        <v>283</v>
      </c>
      <c r="E269" s="45" t="s">
        <v>45</v>
      </c>
      <c r="F269" s="53">
        <v>98</v>
      </c>
      <c r="G269" s="53" t="s">
        <v>31</v>
      </c>
      <c r="H269" s="12">
        <v>14</v>
      </c>
      <c r="I269" s="46">
        <f t="shared" si="13"/>
        <v>15.272727272727273</v>
      </c>
      <c r="J269" s="76">
        <f t="shared" si="12"/>
        <v>1.1000000000000001</v>
      </c>
      <c r="K269" s="77">
        <v>0.1</v>
      </c>
      <c r="L269" s="122">
        <v>20</v>
      </c>
      <c r="M269" s="139" t="s">
        <v>31</v>
      </c>
    </row>
    <row r="270" spans="1:13" ht="118.5" customHeight="1" x14ac:dyDescent="0.2">
      <c r="A270" s="43">
        <v>265</v>
      </c>
      <c r="B270" s="48">
        <v>12535</v>
      </c>
      <c r="C270" s="44">
        <v>435912</v>
      </c>
      <c r="D270" s="97" t="s">
        <v>284</v>
      </c>
      <c r="E270" s="45" t="s">
        <v>45</v>
      </c>
      <c r="F270" s="53">
        <v>106</v>
      </c>
      <c r="G270" s="53" t="s">
        <v>31</v>
      </c>
      <c r="H270" s="12">
        <v>4</v>
      </c>
      <c r="I270" s="46">
        <f t="shared" si="13"/>
        <v>4.3636363636363633</v>
      </c>
      <c r="J270" s="76">
        <f t="shared" si="12"/>
        <v>1.1000000000000001</v>
      </c>
      <c r="K270" s="77">
        <v>0.1</v>
      </c>
      <c r="L270" s="122">
        <v>20</v>
      </c>
      <c r="M270" s="139" t="s">
        <v>31</v>
      </c>
    </row>
    <row r="271" spans="1:13" ht="140.25" x14ac:dyDescent="0.2">
      <c r="A271" s="43">
        <v>266</v>
      </c>
      <c r="B271" s="48">
        <v>12536</v>
      </c>
      <c r="C271" s="44">
        <v>436013</v>
      </c>
      <c r="D271" s="97" t="s">
        <v>285</v>
      </c>
      <c r="E271" s="45" t="s">
        <v>45</v>
      </c>
      <c r="F271" s="53">
        <v>66</v>
      </c>
      <c r="G271" s="12" t="s">
        <v>31</v>
      </c>
      <c r="H271" s="12">
        <v>41</v>
      </c>
      <c r="I271" s="46">
        <f t="shared" si="13"/>
        <v>44.727272727272727</v>
      </c>
      <c r="J271" s="76">
        <f t="shared" si="12"/>
        <v>1.1000000000000001</v>
      </c>
      <c r="K271" s="77">
        <v>0.1</v>
      </c>
      <c r="L271" s="122">
        <v>100</v>
      </c>
      <c r="M271" s="139" t="s">
        <v>31</v>
      </c>
    </row>
    <row r="272" spans="1:13" ht="162" customHeight="1" x14ac:dyDescent="0.2">
      <c r="A272" s="43">
        <v>267</v>
      </c>
      <c r="B272" s="48">
        <v>12537</v>
      </c>
      <c r="C272" s="48">
        <v>436838</v>
      </c>
      <c r="D272" s="99" t="s">
        <v>286</v>
      </c>
      <c r="E272" s="47" t="s">
        <v>45</v>
      </c>
      <c r="F272" s="53">
        <v>25000</v>
      </c>
      <c r="G272" s="53">
        <v>0</v>
      </c>
      <c r="H272" s="53">
        <v>0</v>
      </c>
      <c r="I272" s="46">
        <v>2000</v>
      </c>
      <c r="J272" s="123">
        <f t="shared" si="12"/>
        <v>1.1000000000000001</v>
      </c>
      <c r="K272" s="124">
        <v>0.1</v>
      </c>
      <c r="L272" s="122">
        <v>5000</v>
      </c>
      <c r="M272" s="139" t="s">
        <v>31</v>
      </c>
    </row>
    <row r="273" spans="1:13" ht="179.25" customHeight="1" x14ac:dyDescent="0.2">
      <c r="A273" s="43">
        <v>268</v>
      </c>
      <c r="B273" s="48">
        <v>12539</v>
      </c>
      <c r="C273" s="44">
        <v>436004</v>
      </c>
      <c r="D273" s="101" t="s">
        <v>287</v>
      </c>
      <c r="E273" s="45" t="s">
        <v>45</v>
      </c>
      <c r="F273" s="53">
        <v>50</v>
      </c>
      <c r="G273" s="12" t="s">
        <v>31</v>
      </c>
      <c r="H273" s="12">
        <v>0</v>
      </c>
      <c r="I273" s="46">
        <f t="shared" si="13"/>
        <v>0</v>
      </c>
      <c r="J273" s="76">
        <f t="shared" si="12"/>
        <v>1.1000000000000001</v>
      </c>
      <c r="K273" s="77">
        <v>0.1</v>
      </c>
      <c r="L273" s="122">
        <v>10</v>
      </c>
      <c r="M273" s="139" t="s">
        <v>31</v>
      </c>
    </row>
    <row r="274" spans="1:13" ht="159" customHeight="1" x14ac:dyDescent="0.2">
      <c r="A274" s="43">
        <v>269</v>
      </c>
      <c r="B274" s="48">
        <v>12538</v>
      </c>
      <c r="C274" s="44">
        <v>436838</v>
      </c>
      <c r="D274" s="99" t="s">
        <v>288</v>
      </c>
      <c r="E274" s="45" t="s">
        <v>45</v>
      </c>
      <c r="F274" s="53">
        <v>50</v>
      </c>
      <c r="G274" s="12" t="s">
        <v>31</v>
      </c>
      <c r="H274" s="12">
        <v>0</v>
      </c>
      <c r="I274" s="46">
        <f t="shared" si="13"/>
        <v>0</v>
      </c>
      <c r="J274" s="76">
        <f t="shared" si="12"/>
        <v>1.1000000000000001</v>
      </c>
      <c r="K274" s="77">
        <v>0.1</v>
      </c>
      <c r="L274" s="122">
        <v>10</v>
      </c>
      <c r="M274" s="139" t="s">
        <v>31</v>
      </c>
    </row>
    <row r="275" spans="1:13" ht="118.5" customHeight="1" x14ac:dyDescent="0.2">
      <c r="A275" s="43">
        <v>270</v>
      </c>
      <c r="B275" s="48">
        <v>12540</v>
      </c>
      <c r="C275" s="44">
        <v>436012</v>
      </c>
      <c r="D275" s="101" t="s">
        <v>289</v>
      </c>
      <c r="E275" s="44" t="s">
        <v>45</v>
      </c>
      <c r="F275" s="53">
        <v>50</v>
      </c>
      <c r="G275" s="12" t="s">
        <v>31</v>
      </c>
      <c r="H275" s="12">
        <v>0</v>
      </c>
      <c r="I275" s="46">
        <f t="shared" si="13"/>
        <v>0</v>
      </c>
      <c r="J275" s="76">
        <f t="shared" si="12"/>
        <v>1.1000000000000001</v>
      </c>
      <c r="K275" s="77">
        <v>0.1</v>
      </c>
      <c r="L275" s="122">
        <v>10</v>
      </c>
      <c r="M275" s="139" t="s">
        <v>31</v>
      </c>
    </row>
    <row r="276" spans="1:13" ht="186.75" customHeight="1" x14ac:dyDescent="0.2">
      <c r="A276" s="43">
        <v>271</v>
      </c>
      <c r="B276" s="48">
        <v>12541</v>
      </c>
      <c r="C276" s="44">
        <v>457480</v>
      </c>
      <c r="D276" s="100" t="s">
        <v>290</v>
      </c>
      <c r="E276" s="44" t="s">
        <v>45</v>
      </c>
      <c r="F276" s="53">
        <v>75</v>
      </c>
      <c r="G276" s="12" t="s">
        <v>31</v>
      </c>
      <c r="H276" s="12">
        <v>0</v>
      </c>
      <c r="I276" s="46">
        <f t="shared" si="13"/>
        <v>0</v>
      </c>
      <c r="J276" s="76">
        <f t="shared" si="12"/>
        <v>1.1000000000000001</v>
      </c>
      <c r="K276" s="77">
        <v>0.1</v>
      </c>
      <c r="L276" s="122">
        <v>10</v>
      </c>
      <c r="M276" s="139" t="s">
        <v>31</v>
      </c>
    </row>
    <row r="277" spans="1:13" ht="118.5" customHeight="1" x14ac:dyDescent="0.2">
      <c r="A277" s="43">
        <v>272</v>
      </c>
      <c r="B277" s="48">
        <v>12542</v>
      </c>
      <c r="C277" s="44">
        <v>459110</v>
      </c>
      <c r="D277" s="99" t="s">
        <v>291</v>
      </c>
      <c r="E277" s="47" t="s">
        <v>45</v>
      </c>
      <c r="F277" s="53">
        <v>25080</v>
      </c>
      <c r="G277" s="12" t="s">
        <v>31</v>
      </c>
      <c r="H277" s="12">
        <v>8598</v>
      </c>
      <c r="I277" s="46">
        <f t="shared" si="13"/>
        <v>9379.636363636364</v>
      </c>
      <c r="J277" s="76">
        <f t="shared" si="12"/>
        <v>1.1000000000000001</v>
      </c>
      <c r="K277" s="77">
        <v>0.1</v>
      </c>
      <c r="L277" s="46">
        <v>20600</v>
      </c>
      <c r="M277" s="139" t="s">
        <v>31</v>
      </c>
    </row>
    <row r="278" spans="1:13" ht="118.5" customHeight="1" x14ac:dyDescent="0.2">
      <c r="A278" s="43">
        <v>273</v>
      </c>
      <c r="B278" s="48">
        <v>12543</v>
      </c>
      <c r="C278" s="44" t="s">
        <v>31</v>
      </c>
      <c r="D278" s="97" t="s">
        <v>293</v>
      </c>
      <c r="E278" s="45" t="s">
        <v>45</v>
      </c>
      <c r="F278" s="53">
        <v>3000</v>
      </c>
      <c r="G278" s="12" t="s">
        <v>31</v>
      </c>
      <c r="H278" s="12">
        <v>3800</v>
      </c>
      <c r="I278" s="46">
        <f t="shared" si="13"/>
        <v>4145.454545454545</v>
      </c>
      <c r="J278" s="76">
        <f t="shared" si="12"/>
        <v>1.1000000000000001</v>
      </c>
      <c r="K278" s="77">
        <v>0.1</v>
      </c>
      <c r="L278" s="122">
        <v>5000</v>
      </c>
      <c r="M278" s="139" t="s">
        <v>31</v>
      </c>
    </row>
    <row r="279" spans="1:13" ht="118.5" customHeight="1" x14ac:dyDescent="0.2">
      <c r="A279" s="43">
        <v>274</v>
      </c>
      <c r="B279" s="48">
        <v>12544</v>
      </c>
      <c r="C279" s="44">
        <v>459098</v>
      </c>
      <c r="D279" s="34" t="s">
        <v>294</v>
      </c>
      <c r="E279" s="45" t="s">
        <v>60</v>
      </c>
      <c r="F279" s="53">
        <v>100</v>
      </c>
      <c r="G279" s="12" t="s">
        <v>31</v>
      </c>
      <c r="H279" s="12">
        <v>19</v>
      </c>
      <c r="I279" s="46">
        <f t="shared" si="13"/>
        <v>20.727272727272727</v>
      </c>
      <c r="J279" s="76">
        <f t="shared" si="12"/>
        <v>1.1000000000000001</v>
      </c>
      <c r="K279" s="77">
        <v>0.1</v>
      </c>
      <c r="L279" s="122">
        <v>100</v>
      </c>
      <c r="M279" s="139" t="s">
        <v>31</v>
      </c>
    </row>
    <row r="280" spans="1:13" ht="118.5" customHeight="1" x14ac:dyDescent="0.2">
      <c r="A280" s="43">
        <v>275</v>
      </c>
      <c r="B280" s="48">
        <v>12545</v>
      </c>
      <c r="C280" s="44">
        <v>459103</v>
      </c>
      <c r="D280" s="97" t="s">
        <v>295</v>
      </c>
      <c r="E280" s="45" t="s">
        <v>48</v>
      </c>
      <c r="F280" s="53">
        <v>10</v>
      </c>
      <c r="G280" s="12" t="s">
        <v>31</v>
      </c>
      <c r="H280" s="12">
        <v>0</v>
      </c>
      <c r="I280" s="46">
        <f t="shared" si="13"/>
        <v>0</v>
      </c>
      <c r="J280" s="76">
        <f t="shared" si="12"/>
        <v>1.1000000000000001</v>
      </c>
      <c r="K280" s="77">
        <v>0.1</v>
      </c>
      <c r="L280" s="122">
        <v>10</v>
      </c>
      <c r="M280" s="139" t="s">
        <v>31</v>
      </c>
    </row>
    <row r="281" spans="1:13" ht="118.5" customHeight="1" x14ac:dyDescent="0.2">
      <c r="A281" s="43">
        <v>276</v>
      </c>
      <c r="B281" s="48">
        <v>12546</v>
      </c>
      <c r="C281" s="44">
        <v>435801</v>
      </c>
      <c r="D281" s="97" t="s">
        <v>296</v>
      </c>
      <c r="E281" s="45" t="s">
        <v>45</v>
      </c>
      <c r="F281" s="53">
        <v>50</v>
      </c>
      <c r="G281" s="12" t="s">
        <v>31</v>
      </c>
      <c r="H281" s="12">
        <v>22</v>
      </c>
      <c r="I281" s="46">
        <f t="shared" si="13"/>
        <v>24</v>
      </c>
      <c r="J281" s="78">
        <f t="shared" si="12"/>
        <v>1.1000000000000001</v>
      </c>
      <c r="K281" s="79">
        <v>0.1</v>
      </c>
      <c r="L281" s="46">
        <f t="shared" si="14"/>
        <v>26</v>
      </c>
      <c r="M281" s="139" t="s">
        <v>31</v>
      </c>
    </row>
    <row r="282" spans="1:13" ht="118.5" customHeight="1" x14ac:dyDescent="0.2">
      <c r="A282" s="43">
        <v>277</v>
      </c>
      <c r="B282" s="48">
        <v>12547</v>
      </c>
      <c r="C282" s="44">
        <v>452244</v>
      </c>
      <c r="D282" s="97" t="s">
        <v>297</v>
      </c>
      <c r="E282" s="45" t="s">
        <v>45</v>
      </c>
      <c r="F282" s="53">
        <v>40</v>
      </c>
      <c r="G282" s="12" t="s">
        <v>31</v>
      </c>
      <c r="H282" s="12">
        <v>20</v>
      </c>
      <c r="I282" s="46">
        <f t="shared" si="13"/>
        <v>21.818181818181817</v>
      </c>
      <c r="J282" s="76">
        <f t="shared" si="12"/>
        <v>1.1000000000000001</v>
      </c>
      <c r="K282" s="77">
        <v>0.1</v>
      </c>
      <c r="L282" s="122">
        <v>50</v>
      </c>
      <c r="M282" s="139" t="s">
        <v>31</v>
      </c>
    </row>
    <row r="283" spans="1:13" ht="118.5" customHeight="1" x14ac:dyDescent="0.2">
      <c r="A283" s="43">
        <v>278</v>
      </c>
      <c r="B283" s="48">
        <v>12548</v>
      </c>
      <c r="C283" s="44" t="s">
        <v>31</v>
      </c>
      <c r="D283" s="97" t="s">
        <v>298</v>
      </c>
      <c r="E283" s="45" t="s">
        <v>45</v>
      </c>
      <c r="F283" s="53">
        <v>100</v>
      </c>
      <c r="G283" s="12" t="s">
        <v>31</v>
      </c>
      <c r="H283" s="12">
        <v>100</v>
      </c>
      <c r="I283" s="46">
        <f t="shared" si="13"/>
        <v>109.09090909090909</v>
      </c>
      <c r="J283" s="76">
        <f t="shared" si="12"/>
        <v>1.1000000000000001</v>
      </c>
      <c r="K283" s="77">
        <v>0.1</v>
      </c>
      <c r="L283" s="122">
        <v>300</v>
      </c>
      <c r="M283" s="139" t="s">
        <v>31</v>
      </c>
    </row>
    <row r="284" spans="1:13" ht="118.5" customHeight="1" x14ac:dyDescent="0.2">
      <c r="A284" s="43">
        <v>279</v>
      </c>
      <c r="B284" s="48">
        <v>12549</v>
      </c>
      <c r="C284" s="44">
        <v>471445</v>
      </c>
      <c r="D284" s="97" t="s">
        <v>299</v>
      </c>
      <c r="E284" s="45" t="s">
        <v>45</v>
      </c>
      <c r="F284" s="53">
        <v>5</v>
      </c>
      <c r="G284" s="12" t="s">
        <v>31</v>
      </c>
      <c r="H284" s="12">
        <v>0</v>
      </c>
      <c r="I284" s="46">
        <f t="shared" si="13"/>
        <v>0</v>
      </c>
      <c r="J284" s="76">
        <f t="shared" si="12"/>
        <v>1.1000000000000001</v>
      </c>
      <c r="K284" s="77">
        <v>0.1</v>
      </c>
      <c r="L284" s="46">
        <v>5</v>
      </c>
      <c r="M284" s="139" t="s">
        <v>31</v>
      </c>
    </row>
    <row r="285" spans="1:13" ht="118.5" customHeight="1" x14ac:dyDescent="0.2">
      <c r="A285" s="43">
        <v>280</v>
      </c>
      <c r="B285" s="48">
        <v>12550</v>
      </c>
      <c r="C285" s="48">
        <v>471592</v>
      </c>
      <c r="D285" s="100" t="s">
        <v>300</v>
      </c>
      <c r="E285" s="47" t="s">
        <v>45</v>
      </c>
      <c r="F285" s="53">
        <v>5</v>
      </c>
      <c r="G285" s="12" t="s">
        <v>31</v>
      </c>
      <c r="H285" s="12">
        <v>0</v>
      </c>
      <c r="I285" s="46">
        <f t="shared" si="13"/>
        <v>0</v>
      </c>
      <c r="J285" s="76">
        <f t="shared" si="12"/>
        <v>1.1000000000000001</v>
      </c>
      <c r="K285" s="77">
        <v>0.1</v>
      </c>
      <c r="L285" s="122">
        <v>5</v>
      </c>
      <c r="M285" s="139" t="s">
        <v>31</v>
      </c>
    </row>
    <row r="286" spans="1:13" ht="118.5" customHeight="1" x14ac:dyDescent="0.2">
      <c r="A286" s="43">
        <v>281</v>
      </c>
      <c r="B286" s="48">
        <v>12551</v>
      </c>
      <c r="C286" s="44">
        <v>471593</v>
      </c>
      <c r="D286" s="101" t="s">
        <v>301</v>
      </c>
      <c r="E286" s="45" t="s">
        <v>45</v>
      </c>
      <c r="F286" s="53">
        <v>5</v>
      </c>
      <c r="G286" s="12" t="s">
        <v>31</v>
      </c>
      <c r="H286" s="12">
        <v>3</v>
      </c>
      <c r="I286" s="46">
        <f t="shared" si="13"/>
        <v>3.2727272727272725</v>
      </c>
      <c r="J286" s="76">
        <f t="shared" si="12"/>
        <v>1.1000000000000001</v>
      </c>
      <c r="K286" s="77">
        <v>0.1</v>
      </c>
      <c r="L286" s="122">
        <v>5</v>
      </c>
      <c r="M286" s="139" t="s">
        <v>31</v>
      </c>
    </row>
    <row r="287" spans="1:13" ht="118.5" customHeight="1" x14ac:dyDescent="0.2">
      <c r="A287" s="43">
        <v>282</v>
      </c>
      <c r="B287" s="48">
        <v>12552</v>
      </c>
      <c r="C287" s="44">
        <v>471594</v>
      </c>
      <c r="D287" s="101" t="s">
        <v>302</v>
      </c>
      <c r="E287" s="45" t="s">
        <v>45</v>
      </c>
      <c r="F287" s="53">
        <v>5</v>
      </c>
      <c r="G287" s="12" t="s">
        <v>31</v>
      </c>
      <c r="H287" s="12">
        <v>0</v>
      </c>
      <c r="I287" s="46">
        <f t="shared" si="13"/>
        <v>0</v>
      </c>
      <c r="J287" s="76">
        <f t="shared" si="12"/>
        <v>1.1000000000000001</v>
      </c>
      <c r="K287" s="77">
        <v>0.1</v>
      </c>
      <c r="L287" s="122">
        <v>5</v>
      </c>
      <c r="M287" s="139" t="s">
        <v>31</v>
      </c>
    </row>
    <row r="288" spans="1:13" ht="118.5" customHeight="1" x14ac:dyDescent="0.2">
      <c r="A288" s="43">
        <v>283</v>
      </c>
      <c r="B288" s="48">
        <v>12553</v>
      </c>
      <c r="C288" s="44">
        <v>471492</v>
      </c>
      <c r="D288" s="97" t="s">
        <v>303</v>
      </c>
      <c r="E288" s="45" t="s">
        <v>45</v>
      </c>
      <c r="F288" s="53">
        <v>5</v>
      </c>
      <c r="G288" s="12" t="s">
        <v>31</v>
      </c>
      <c r="H288" s="12">
        <v>0</v>
      </c>
      <c r="I288" s="46">
        <f t="shared" si="13"/>
        <v>0</v>
      </c>
      <c r="J288" s="76">
        <f t="shared" si="12"/>
        <v>1.1000000000000001</v>
      </c>
      <c r="K288" s="77">
        <v>0.1</v>
      </c>
      <c r="L288" s="122">
        <v>5</v>
      </c>
      <c r="M288" s="139" t="s">
        <v>31</v>
      </c>
    </row>
    <row r="289" spans="1:13" ht="118.5" customHeight="1" x14ac:dyDescent="0.2">
      <c r="A289" s="43">
        <v>284</v>
      </c>
      <c r="B289" s="48">
        <v>12554</v>
      </c>
      <c r="C289" s="48">
        <v>471498</v>
      </c>
      <c r="D289" s="99" t="s">
        <v>304</v>
      </c>
      <c r="E289" s="47" t="s">
        <v>45</v>
      </c>
      <c r="F289" s="53">
        <v>5</v>
      </c>
      <c r="G289" s="12" t="s">
        <v>31</v>
      </c>
      <c r="H289" s="12">
        <v>0</v>
      </c>
      <c r="I289" s="46">
        <f t="shared" si="13"/>
        <v>0</v>
      </c>
      <c r="J289" s="76">
        <f t="shared" si="12"/>
        <v>1.1000000000000001</v>
      </c>
      <c r="K289" s="77">
        <v>0.1</v>
      </c>
      <c r="L289" s="122">
        <v>5</v>
      </c>
      <c r="M289" s="139" t="s">
        <v>31</v>
      </c>
    </row>
    <row r="290" spans="1:13" ht="118.5" customHeight="1" x14ac:dyDescent="0.2">
      <c r="A290" s="43">
        <v>285</v>
      </c>
      <c r="B290" s="48">
        <v>12555</v>
      </c>
      <c r="C290" s="44">
        <v>471511</v>
      </c>
      <c r="D290" s="97" t="s">
        <v>305</v>
      </c>
      <c r="E290" s="45" t="s">
        <v>45</v>
      </c>
      <c r="F290" s="53">
        <v>5</v>
      </c>
      <c r="G290" s="12" t="s">
        <v>31</v>
      </c>
      <c r="H290" s="12">
        <v>0</v>
      </c>
      <c r="I290" s="46">
        <f t="shared" si="13"/>
        <v>0</v>
      </c>
      <c r="J290" s="76">
        <f t="shared" si="12"/>
        <v>1.1000000000000001</v>
      </c>
      <c r="K290" s="77">
        <v>0.1</v>
      </c>
      <c r="L290" s="122">
        <v>5</v>
      </c>
      <c r="M290" s="139" t="s">
        <v>31</v>
      </c>
    </row>
    <row r="291" spans="1:13" ht="118.5" customHeight="1" x14ac:dyDescent="0.2">
      <c r="A291" s="43">
        <v>286</v>
      </c>
      <c r="B291" s="48">
        <v>12556</v>
      </c>
      <c r="C291" s="44">
        <v>471513</v>
      </c>
      <c r="D291" s="97" t="s">
        <v>306</v>
      </c>
      <c r="E291" s="45" t="s">
        <v>45</v>
      </c>
      <c r="F291" s="53">
        <v>5</v>
      </c>
      <c r="G291" s="12" t="s">
        <v>31</v>
      </c>
      <c r="H291" s="12">
        <v>0</v>
      </c>
      <c r="I291" s="46">
        <f t="shared" si="13"/>
        <v>0</v>
      </c>
      <c r="J291" s="76">
        <f t="shared" ref="J291:J343" si="15">1+K291</f>
        <v>1.1000000000000001</v>
      </c>
      <c r="K291" s="77">
        <v>0.1</v>
      </c>
      <c r="L291" s="122">
        <v>5</v>
      </c>
      <c r="M291" s="139" t="s">
        <v>31</v>
      </c>
    </row>
    <row r="292" spans="1:13" ht="118.5" customHeight="1" x14ac:dyDescent="0.2">
      <c r="A292" s="43">
        <v>287</v>
      </c>
      <c r="B292" s="48">
        <v>12557</v>
      </c>
      <c r="C292" s="44" t="s">
        <v>292</v>
      </c>
      <c r="D292" s="97" t="s">
        <v>307</v>
      </c>
      <c r="E292" s="45" t="s">
        <v>45</v>
      </c>
      <c r="F292" s="53">
        <v>5</v>
      </c>
      <c r="G292" s="12" t="s">
        <v>31</v>
      </c>
      <c r="H292" s="12">
        <v>0</v>
      </c>
      <c r="I292" s="46">
        <f t="shared" si="13"/>
        <v>0</v>
      </c>
      <c r="J292" s="76">
        <f t="shared" si="15"/>
        <v>1.1000000000000001</v>
      </c>
      <c r="K292" s="77">
        <v>0.1</v>
      </c>
      <c r="L292" s="122">
        <v>5</v>
      </c>
      <c r="M292" s="139" t="s">
        <v>31</v>
      </c>
    </row>
    <row r="293" spans="1:13" ht="118.5" customHeight="1" x14ac:dyDescent="0.2">
      <c r="A293" s="43">
        <v>288</v>
      </c>
      <c r="B293" s="48">
        <v>12558</v>
      </c>
      <c r="C293" s="44" t="s">
        <v>31</v>
      </c>
      <c r="D293" s="104" t="s">
        <v>308</v>
      </c>
      <c r="E293" s="45" t="s">
        <v>45</v>
      </c>
      <c r="F293" s="53">
        <v>5</v>
      </c>
      <c r="G293" s="12" t="s">
        <v>31</v>
      </c>
      <c r="H293" s="12">
        <v>0</v>
      </c>
      <c r="I293" s="46">
        <f t="shared" si="13"/>
        <v>0</v>
      </c>
      <c r="J293" s="76">
        <f t="shared" si="15"/>
        <v>1.1000000000000001</v>
      </c>
      <c r="K293" s="77">
        <v>0.1</v>
      </c>
      <c r="L293" s="122">
        <v>5</v>
      </c>
      <c r="M293" s="139" t="s">
        <v>31</v>
      </c>
    </row>
    <row r="294" spans="1:13" ht="118.5" customHeight="1" x14ac:dyDescent="0.2">
      <c r="A294" s="43">
        <v>289</v>
      </c>
      <c r="B294" s="48">
        <v>12559</v>
      </c>
      <c r="C294" s="48">
        <v>428551</v>
      </c>
      <c r="D294" s="99" t="s">
        <v>309</v>
      </c>
      <c r="E294" s="45" t="s">
        <v>45</v>
      </c>
      <c r="F294" s="53">
        <v>150</v>
      </c>
      <c r="G294" s="12" t="s">
        <v>31</v>
      </c>
      <c r="H294" s="12">
        <v>0</v>
      </c>
      <c r="I294" s="46">
        <f t="shared" si="13"/>
        <v>0</v>
      </c>
      <c r="J294" s="76">
        <f t="shared" si="15"/>
        <v>1.1000000000000001</v>
      </c>
      <c r="K294" s="77">
        <v>0.1</v>
      </c>
      <c r="L294" s="122">
        <v>100</v>
      </c>
      <c r="M294" s="139" t="s">
        <v>31</v>
      </c>
    </row>
    <row r="295" spans="1:13" ht="118.5" customHeight="1" x14ac:dyDescent="0.2">
      <c r="A295" s="43">
        <v>290</v>
      </c>
      <c r="B295" s="48">
        <v>12560</v>
      </c>
      <c r="C295" s="44" t="s">
        <v>31</v>
      </c>
      <c r="D295" s="101" t="s">
        <v>310</v>
      </c>
      <c r="E295" s="45" t="s">
        <v>45</v>
      </c>
      <c r="F295" s="53">
        <v>10</v>
      </c>
      <c r="G295" s="12" t="s">
        <v>31</v>
      </c>
      <c r="H295" s="12">
        <v>7</v>
      </c>
      <c r="I295" s="46">
        <f t="shared" si="13"/>
        <v>7.6363636363636367</v>
      </c>
      <c r="J295" s="76">
        <f t="shared" si="15"/>
        <v>1.1000000000000001</v>
      </c>
      <c r="K295" s="77">
        <v>0.1</v>
      </c>
      <c r="L295" s="122">
        <v>20</v>
      </c>
      <c r="M295" s="139" t="s">
        <v>31</v>
      </c>
    </row>
    <row r="296" spans="1:13" ht="118.5" customHeight="1" x14ac:dyDescent="0.2">
      <c r="A296" s="43">
        <v>291</v>
      </c>
      <c r="B296" s="48">
        <v>12561</v>
      </c>
      <c r="C296" s="44" t="s">
        <v>31</v>
      </c>
      <c r="D296" s="100" t="s">
        <v>311</v>
      </c>
      <c r="E296" s="45" t="s">
        <v>45</v>
      </c>
      <c r="F296" s="53">
        <v>10</v>
      </c>
      <c r="G296" s="12" t="s">
        <v>31</v>
      </c>
      <c r="H296" s="12">
        <v>0</v>
      </c>
      <c r="I296" s="46">
        <f t="shared" si="13"/>
        <v>0</v>
      </c>
      <c r="J296" s="76">
        <f t="shared" si="15"/>
        <v>1.1000000000000001</v>
      </c>
      <c r="K296" s="77">
        <v>0.1</v>
      </c>
      <c r="L296" s="122">
        <v>20</v>
      </c>
      <c r="M296" s="139" t="s">
        <v>31</v>
      </c>
    </row>
    <row r="297" spans="1:13" ht="118.5" customHeight="1" x14ac:dyDescent="0.2">
      <c r="A297" s="43">
        <v>292</v>
      </c>
      <c r="B297" s="48">
        <v>12562</v>
      </c>
      <c r="C297" s="44">
        <v>451197</v>
      </c>
      <c r="D297" s="101" t="s">
        <v>312</v>
      </c>
      <c r="E297" s="45" t="s">
        <v>45</v>
      </c>
      <c r="F297" s="53">
        <v>10</v>
      </c>
      <c r="G297" s="12" t="s">
        <v>31</v>
      </c>
      <c r="H297" s="12">
        <v>10</v>
      </c>
      <c r="I297" s="46">
        <f t="shared" si="13"/>
        <v>10.909090909090908</v>
      </c>
      <c r="J297" s="76">
        <f t="shared" si="15"/>
        <v>1.1000000000000001</v>
      </c>
      <c r="K297" s="77">
        <v>0.1</v>
      </c>
      <c r="L297" s="122">
        <v>20</v>
      </c>
      <c r="M297" s="139" t="s">
        <v>31</v>
      </c>
    </row>
    <row r="298" spans="1:13" ht="118.5" customHeight="1" x14ac:dyDescent="0.2">
      <c r="A298" s="43">
        <v>293</v>
      </c>
      <c r="B298" s="48">
        <v>12563</v>
      </c>
      <c r="C298" s="44" t="s">
        <v>31</v>
      </c>
      <c r="D298" s="97" t="s">
        <v>313</v>
      </c>
      <c r="E298" s="45" t="s">
        <v>45</v>
      </c>
      <c r="F298" s="53">
        <v>150</v>
      </c>
      <c r="G298" s="12" t="s">
        <v>31</v>
      </c>
      <c r="H298" s="12">
        <v>0</v>
      </c>
      <c r="I298" s="46">
        <f t="shared" si="13"/>
        <v>0</v>
      </c>
      <c r="J298" s="76">
        <f t="shared" si="15"/>
        <v>1.1000000000000001</v>
      </c>
      <c r="K298" s="77">
        <v>0.1</v>
      </c>
      <c r="L298" s="122">
        <v>100</v>
      </c>
      <c r="M298" s="139" t="s">
        <v>31</v>
      </c>
    </row>
    <row r="299" spans="1:13" ht="188.25" customHeight="1" x14ac:dyDescent="0.2">
      <c r="A299" s="43">
        <v>294</v>
      </c>
      <c r="B299" s="48">
        <v>12564</v>
      </c>
      <c r="C299" s="44">
        <v>435410</v>
      </c>
      <c r="D299" s="97" t="s">
        <v>314</v>
      </c>
      <c r="E299" s="45" t="s">
        <v>45</v>
      </c>
      <c r="F299" s="53">
        <v>106</v>
      </c>
      <c r="G299" s="12" t="s">
        <v>31</v>
      </c>
      <c r="H299" s="12">
        <v>43</v>
      </c>
      <c r="I299" s="46">
        <f t="shared" si="13"/>
        <v>46.909090909090907</v>
      </c>
      <c r="J299" s="76">
        <f t="shared" si="15"/>
        <v>1.1000000000000001</v>
      </c>
      <c r="K299" s="77">
        <v>0.1</v>
      </c>
      <c r="L299" s="46">
        <f t="shared" si="14"/>
        <v>52</v>
      </c>
      <c r="M299" s="139" t="s">
        <v>31</v>
      </c>
    </row>
    <row r="300" spans="1:13" ht="118.5" customHeight="1" x14ac:dyDescent="0.2">
      <c r="A300" s="43">
        <v>295</v>
      </c>
      <c r="B300" s="48">
        <v>12565</v>
      </c>
      <c r="C300" s="44">
        <v>385777</v>
      </c>
      <c r="D300" s="101" t="s">
        <v>315</v>
      </c>
      <c r="E300" s="45" t="s">
        <v>45</v>
      </c>
      <c r="F300" s="53">
        <v>10</v>
      </c>
      <c r="G300" s="12" t="s">
        <v>31</v>
      </c>
      <c r="H300" s="12">
        <v>0</v>
      </c>
      <c r="I300" s="46">
        <f t="shared" si="13"/>
        <v>0</v>
      </c>
      <c r="J300" s="76">
        <f t="shared" si="15"/>
        <v>1.1000000000000001</v>
      </c>
      <c r="K300" s="77">
        <v>0.1</v>
      </c>
      <c r="L300" s="122">
        <v>10</v>
      </c>
      <c r="M300" s="139" t="s">
        <v>31</v>
      </c>
    </row>
    <row r="301" spans="1:13" ht="118.5" customHeight="1" x14ac:dyDescent="0.2">
      <c r="A301" s="43">
        <v>296</v>
      </c>
      <c r="B301" s="48">
        <v>12566</v>
      </c>
      <c r="C301" s="44">
        <v>385756</v>
      </c>
      <c r="D301" s="101" t="s">
        <v>316</v>
      </c>
      <c r="E301" s="45" t="s">
        <v>45</v>
      </c>
      <c r="F301" s="53">
        <v>10</v>
      </c>
      <c r="G301" s="12" t="s">
        <v>31</v>
      </c>
      <c r="H301" s="12">
        <v>0</v>
      </c>
      <c r="I301" s="46">
        <f t="shared" si="13"/>
        <v>0</v>
      </c>
      <c r="J301" s="76">
        <f t="shared" si="15"/>
        <v>1.1000000000000001</v>
      </c>
      <c r="K301" s="77">
        <v>0.1</v>
      </c>
      <c r="L301" s="122">
        <v>10</v>
      </c>
      <c r="M301" s="139" t="s">
        <v>31</v>
      </c>
    </row>
    <row r="302" spans="1:13" ht="118.5" customHeight="1" x14ac:dyDescent="0.2">
      <c r="A302" s="43">
        <v>297</v>
      </c>
      <c r="B302" s="48">
        <v>12567</v>
      </c>
      <c r="C302" s="44" t="s">
        <v>31</v>
      </c>
      <c r="D302" s="101" t="s">
        <v>317</v>
      </c>
      <c r="E302" s="45" t="s">
        <v>45</v>
      </c>
      <c r="F302" s="53">
        <v>2</v>
      </c>
      <c r="G302" s="12" t="s">
        <v>31</v>
      </c>
      <c r="H302" s="12">
        <v>2</v>
      </c>
      <c r="I302" s="46">
        <f t="shared" si="13"/>
        <v>2.1818181818181817</v>
      </c>
      <c r="J302" s="76">
        <f t="shared" si="15"/>
        <v>1.1000000000000001</v>
      </c>
      <c r="K302" s="77">
        <v>0.1</v>
      </c>
      <c r="L302" s="46">
        <f t="shared" si="14"/>
        <v>2</v>
      </c>
      <c r="M302" s="139" t="s">
        <v>31</v>
      </c>
    </row>
    <row r="303" spans="1:13" ht="118.5" customHeight="1" x14ac:dyDescent="0.2">
      <c r="A303" s="43">
        <v>298</v>
      </c>
      <c r="B303" s="48">
        <v>16607</v>
      </c>
      <c r="C303" s="44">
        <v>436058</v>
      </c>
      <c r="D303" s="101" t="s">
        <v>318</v>
      </c>
      <c r="E303" s="45" t="s">
        <v>45</v>
      </c>
      <c r="F303" s="53">
        <v>600</v>
      </c>
      <c r="G303" s="12" t="s">
        <v>31</v>
      </c>
      <c r="H303" s="12">
        <v>76</v>
      </c>
      <c r="I303" s="46">
        <f t="shared" si="13"/>
        <v>82.909090909090907</v>
      </c>
      <c r="J303" s="76">
        <f t="shared" si="15"/>
        <v>1.1000000000000001</v>
      </c>
      <c r="K303" s="77">
        <v>0.1</v>
      </c>
      <c r="L303" s="122">
        <v>720</v>
      </c>
      <c r="M303" s="139" t="s">
        <v>31</v>
      </c>
    </row>
    <row r="304" spans="1:13" ht="118.5" customHeight="1" x14ac:dyDescent="0.2">
      <c r="A304" s="43">
        <v>299</v>
      </c>
      <c r="B304" s="48">
        <v>12569</v>
      </c>
      <c r="C304" s="44">
        <v>301510</v>
      </c>
      <c r="D304" s="101" t="s">
        <v>319</v>
      </c>
      <c r="E304" s="45" t="s">
        <v>45</v>
      </c>
      <c r="F304" s="53">
        <v>20</v>
      </c>
      <c r="G304" s="12" t="s">
        <v>31</v>
      </c>
      <c r="H304" s="12">
        <v>2</v>
      </c>
      <c r="I304" s="46">
        <f t="shared" si="13"/>
        <v>2.1818181818181817</v>
      </c>
      <c r="J304" s="76">
        <f t="shared" si="15"/>
        <v>1.1000000000000001</v>
      </c>
      <c r="K304" s="77">
        <v>0.1</v>
      </c>
      <c r="L304" s="122">
        <v>10</v>
      </c>
      <c r="M304" s="139" t="s">
        <v>31</v>
      </c>
    </row>
    <row r="305" spans="1:13" s="92" customFormat="1" ht="118.5" customHeight="1" x14ac:dyDescent="0.2">
      <c r="A305" s="133">
        <v>300</v>
      </c>
      <c r="B305" s="48">
        <v>11706</v>
      </c>
      <c r="C305" s="48" t="s">
        <v>31</v>
      </c>
      <c r="D305" s="105" t="s">
        <v>872</v>
      </c>
      <c r="E305" s="47" t="s">
        <v>45</v>
      </c>
      <c r="F305" s="53" t="s">
        <v>31</v>
      </c>
      <c r="G305" s="53" t="s">
        <v>31</v>
      </c>
      <c r="H305" s="53"/>
      <c r="I305" s="46">
        <f t="shared" si="13"/>
        <v>0</v>
      </c>
      <c r="J305" s="80">
        <f t="shared" si="15"/>
        <v>1.1000000000000001</v>
      </c>
      <c r="K305" s="81">
        <v>0.1</v>
      </c>
      <c r="L305" s="122">
        <v>10</v>
      </c>
      <c r="M305" s="139" t="s">
        <v>31</v>
      </c>
    </row>
    <row r="306" spans="1:13" ht="118.5" customHeight="1" x14ac:dyDescent="0.2">
      <c r="A306" s="43">
        <v>301</v>
      </c>
      <c r="B306" s="48">
        <v>16349</v>
      </c>
      <c r="C306" s="48" t="s">
        <v>31</v>
      </c>
      <c r="D306" s="106" t="s">
        <v>327</v>
      </c>
      <c r="E306" s="47" t="s">
        <v>45</v>
      </c>
      <c r="F306" s="53" t="s">
        <v>31</v>
      </c>
      <c r="G306" s="12" t="s">
        <v>31</v>
      </c>
      <c r="H306" s="53"/>
      <c r="I306" s="46">
        <f t="shared" si="13"/>
        <v>0</v>
      </c>
      <c r="J306" s="80">
        <f t="shared" si="15"/>
        <v>1.1000000000000001</v>
      </c>
      <c r="K306" s="81">
        <v>0.1</v>
      </c>
      <c r="L306" s="46">
        <v>10</v>
      </c>
      <c r="M306" s="139" t="s">
        <v>31</v>
      </c>
    </row>
    <row r="307" spans="1:13" ht="86.25" customHeight="1" x14ac:dyDescent="0.2">
      <c r="A307" s="43">
        <v>302</v>
      </c>
      <c r="B307" s="48">
        <v>2591</v>
      </c>
      <c r="C307" s="48">
        <v>372895</v>
      </c>
      <c r="D307" s="105" t="s">
        <v>328</v>
      </c>
      <c r="E307" s="47" t="s">
        <v>45</v>
      </c>
      <c r="F307" s="53" t="s">
        <v>31</v>
      </c>
      <c r="G307" s="12" t="s">
        <v>31</v>
      </c>
      <c r="H307" s="53"/>
      <c r="I307" s="46">
        <f t="shared" si="13"/>
        <v>0</v>
      </c>
      <c r="J307" s="80">
        <f t="shared" si="15"/>
        <v>1.1000000000000001</v>
      </c>
      <c r="K307" s="81">
        <v>0.1</v>
      </c>
      <c r="L307" s="46">
        <v>10</v>
      </c>
      <c r="M307" s="139" t="s">
        <v>31</v>
      </c>
    </row>
    <row r="308" spans="1:13" ht="118.5" customHeight="1" x14ac:dyDescent="0.2">
      <c r="A308" s="43">
        <v>303</v>
      </c>
      <c r="B308" s="48">
        <v>4231</v>
      </c>
      <c r="C308" s="48" t="s">
        <v>31</v>
      </c>
      <c r="D308" s="105" t="s">
        <v>329</v>
      </c>
      <c r="E308" s="47" t="s">
        <v>45</v>
      </c>
      <c r="F308" s="53" t="s">
        <v>31</v>
      </c>
      <c r="G308" s="12" t="s">
        <v>31</v>
      </c>
      <c r="H308" s="53"/>
      <c r="I308" s="46">
        <f t="shared" si="13"/>
        <v>0</v>
      </c>
      <c r="J308" s="80">
        <f t="shared" si="15"/>
        <v>1.1000000000000001</v>
      </c>
      <c r="K308" s="81">
        <v>0.1</v>
      </c>
      <c r="L308" s="46">
        <v>15</v>
      </c>
      <c r="M308" s="139" t="s">
        <v>31</v>
      </c>
    </row>
    <row r="309" spans="1:13" ht="118.5" customHeight="1" x14ac:dyDescent="0.2">
      <c r="A309" s="43">
        <v>304</v>
      </c>
      <c r="B309" s="48">
        <v>16350</v>
      </c>
      <c r="C309" s="48" t="s">
        <v>31</v>
      </c>
      <c r="D309" s="105" t="s">
        <v>330</v>
      </c>
      <c r="E309" s="47" t="s">
        <v>45</v>
      </c>
      <c r="F309" s="53" t="s">
        <v>31</v>
      </c>
      <c r="G309" s="12" t="s">
        <v>31</v>
      </c>
      <c r="H309" s="53"/>
      <c r="I309" s="46">
        <f t="shared" si="13"/>
        <v>0</v>
      </c>
      <c r="J309" s="80">
        <f t="shared" si="15"/>
        <v>1.1000000000000001</v>
      </c>
      <c r="K309" s="81">
        <v>0.1</v>
      </c>
      <c r="L309" s="46">
        <v>20</v>
      </c>
      <c r="M309" s="139" t="s">
        <v>31</v>
      </c>
    </row>
    <row r="310" spans="1:13" s="92" customFormat="1" ht="141.75" customHeight="1" x14ac:dyDescent="0.2">
      <c r="A310" s="43">
        <v>305</v>
      </c>
      <c r="B310" s="48">
        <v>16352</v>
      </c>
      <c r="C310" s="48">
        <v>616024</v>
      </c>
      <c r="D310" s="100" t="s">
        <v>844</v>
      </c>
      <c r="E310" s="47" t="s">
        <v>45</v>
      </c>
      <c r="F310" s="53" t="s">
        <v>31</v>
      </c>
      <c r="G310" s="12" t="s">
        <v>31</v>
      </c>
      <c r="H310" s="53" t="s">
        <v>31</v>
      </c>
      <c r="I310" s="46" t="s">
        <v>31</v>
      </c>
      <c r="J310" s="123">
        <f t="shared" si="15"/>
        <v>1.1000000000000001</v>
      </c>
      <c r="K310" s="124">
        <v>0.1</v>
      </c>
      <c r="L310" s="46" t="s">
        <v>31</v>
      </c>
      <c r="M310" s="122">
        <v>10000</v>
      </c>
    </row>
    <row r="311" spans="1:13" s="92" customFormat="1" ht="141.75" customHeight="1" x14ac:dyDescent="0.2">
      <c r="A311" s="133">
        <v>306</v>
      </c>
      <c r="B311" s="48">
        <v>16353</v>
      </c>
      <c r="C311" s="48" t="s">
        <v>31</v>
      </c>
      <c r="D311" s="100" t="s">
        <v>845</v>
      </c>
      <c r="E311" s="47" t="s">
        <v>45</v>
      </c>
      <c r="F311" s="53" t="s">
        <v>31</v>
      </c>
      <c r="G311" s="53" t="s">
        <v>31</v>
      </c>
      <c r="H311" s="53" t="s">
        <v>31</v>
      </c>
      <c r="I311" s="46" t="s">
        <v>31</v>
      </c>
      <c r="J311" s="123">
        <f t="shared" si="15"/>
        <v>1.1000000000000001</v>
      </c>
      <c r="K311" s="124">
        <v>0.1</v>
      </c>
      <c r="L311" s="46" t="s">
        <v>31</v>
      </c>
      <c r="M311" s="122">
        <v>5000</v>
      </c>
    </row>
    <row r="312" spans="1:13" s="92" customFormat="1" ht="141.75" customHeight="1" x14ac:dyDescent="0.2">
      <c r="A312" s="43">
        <v>307</v>
      </c>
      <c r="B312" s="48">
        <v>16354</v>
      </c>
      <c r="C312" s="48">
        <v>604877</v>
      </c>
      <c r="D312" s="100" t="s">
        <v>846</v>
      </c>
      <c r="E312" s="47" t="s">
        <v>45</v>
      </c>
      <c r="F312" s="53" t="s">
        <v>31</v>
      </c>
      <c r="G312" s="12" t="s">
        <v>31</v>
      </c>
      <c r="H312" s="53" t="s">
        <v>31</v>
      </c>
      <c r="I312" s="46" t="s">
        <v>31</v>
      </c>
      <c r="J312" s="123">
        <f t="shared" si="15"/>
        <v>1.1000000000000001</v>
      </c>
      <c r="K312" s="124">
        <v>0.1</v>
      </c>
      <c r="L312" s="122">
        <v>20</v>
      </c>
      <c r="M312" s="139" t="s">
        <v>31</v>
      </c>
    </row>
    <row r="313" spans="1:13" s="92" customFormat="1" ht="141.75" customHeight="1" x14ac:dyDescent="0.2">
      <c r="A313" s="43">
        <v>308</v>
      </c>
      <c r="B313" s="48">
        <v>16355</v>
      </c>
      <c r="C313" s="48">
        <v>451192</v>
      </c>
      <c r="D313" s="100" t="s">
        <v>847</v>
      </c>
      <c r="E313" s="47" t="s">
        <v>45</v>
      </c>
      <c r="F313" s="53" t="s">
        <v>31</v>
      </c>
      <c r="G313" s="12" t="s">
        <v>31</v>
      </c>
      <c r="H313" s="53" t="s">
        <v>31</v>
      </c>
      <c r="I313" s="46" t="s">
        <v>31</v>
      </c>
      <c r="J313" s="123">
        <f t="shared" si="15"/>
        <v>1.1000000000000001</v>
      </c>
      <c r="K313" s="124">
        <v>0.1</v>
      </c>
      <c r="L313" s="122">
        <v>20</v>
      </c>
      <c r="M313" s="139" t="s">
        <v>31</v>
      </c>
    </row>
    <row r="314" spans="1:13" s="92" customFormat="1" ht="141.75" customHeight="1" x14ac:dyDescent="0.2">
      <c r="A314" s="43">
        <v>309</v>
      </c>
      <c r="B314" s="48">
        <v>16356</v>
      </c>
      <c r="C314" s="48">
        <v>451322</v>
      </c>
      <c r="D314" s="100" t="s">
        <v>848</v>
      </c>
      <c r="E314" s="47" t="s">
        <v>45</v>
      </c>
      <c r="F314" s="53" t="s">
        <v>31</v>
      </c>
      <c r="G314" s="12" t="s">
        <v>31</v>
      </c>
      <c r="H314" s="53" t="s">
        <v>31</v>
      </c>
      <c r="I314" s="46" t="s">
        <v>31</v>
      </c>
      <c r="J314" s="123">
        <f t="shared" si="15"/>
        <v>1.1000000000000001</v>
      </c>
      <c r="K314" s="124">
        <v>0.1</v>
      </c>
      <c r="L314" s="122">
        <v>20</v>
      </c>
      <c r="M314" s="139" t="s">
        <v>31</v>
      </c>
    </row>
    <row r="315" spans="1:13" s="92" customFormat="1" ht="141.75" customHeight="1" x14ac:dyDescent="0.2">
      <c r="A315" s="43">
        <v>310</v>
      </c>
      <c r="B315" s="48">
        <v>16357</v>
      </c>
      <c r="C315" s="48">
        <v>467659</v>
      </c>
      <c r="D315" s="100" t="s">
        <v>849</v>
      </c>
      <c r="E315" s="47" t="s">
        <v>45</v>
      </c>
      <c r="F315" s="53" t="s">
        <v>31</v>
      </c>
      <c r="G315" s="12" t="s">
        <v>31</v>
      </c>
      <c r="H315" s="53" t="s">
        <v>31</v>
      </c>
      <c r="I315" s="46" t="s">
        <v>31</v>
      </c>
      <c r="J315" s="123">
        <f t="shared" si="15"/>
        <v>1.1000000000000001</v>
      </c>
      <c r="K315" s="124">
        <v>0.1</v>
      </c>
      <c r="L315" s="122">
        <v>20</v>
      </c>
      <c r="M315" s="139" t="s">
        <v>31</v>
      </c>
    </row>
    <row r="316" spans="1:13" ht="141.75" customHeight="1" x14ac:dyDescent="0.2">
      <c r="A316" s="43">
        <v>311</v>
      </c>
      <c r="B316" s="48">
        <v>16358</v>
      </c>
      <c r="C316" s="44">
        <v>451380</v>
      </c>
      <c r="D316" s="101" t="s">
        <v>943</v>
      </c>
      <c r="E316" s="45" t="s">
        <v>45</v>
      </c>
      <c r="F316" s="12" t="s">
        <v>31</v>
      </c>
      <c r="G316" s="12" t="s">
        <v>31</v>
      </c>
      <c r="H316" s="12" t="s">
        <v>31</v>
      </c>
      <c r="I316" s="143" t="s">
        <v>31</v>
      </c>
      <c r="J316" s="78">
        <f t="shared" si="15"/>
        <v>1.1000000000000001</v>
      </c>
      <c r="K316" s="79">
        <v>0.1</v>
      </c>
      <c r="L316" s="143">
        <v>50</v>
      </c>
      <c r="M316" s="144" t="s">
        <v>31</v>
      </c>
    </row>
    <row r="317" spans="1:13" ht="141.75" customHeight="1" x14ac:dyDescent="0.2">
      <c r="A317" s="43">
        <v>312</v>
      </c>
      <c r="B317" s="48">
        <v>16367</v>
      </c>
      <c r="C317" s="44">
        <v>438397</v>
      </c>
      <c r="D317" s="101" t="s">
        <v>850</v>
      </c>
      <c r="E317" s="45" t="s">
        <v>45</v>
      </c>
      <c r="F317" s="12" t="s">
        <v>31</v>
      </c>
      <c r="G317" s="12" t="s">
        <v>31</v>
      </c>
      <c r="H317" s="12" t="s">
        <v>31</v>
      </c>
      <c r="I317" s="143" t="s">
        <v>31</v>
      </c>
      <c r="J317" s="78">
        <f t="shared" si="15"/>
        <v>1.1000000000000001</v>
      </c>
      <c r="K317" s="79">
        <v>0.1</v>
      </c>
      <c r="L317" s="143">
        <v>100</v>
      </c>
      <c r="M317" s="144" t="s">
        <v>31</v>
      </c>
    </row>
    <row r="318" spans="1:13" ht="141.75" customHeight="1" x14ac:dyDescent="0.2">
      <c r="A318" s="43">
        <v>313</v>
      </c>
      <c r="B318" s="48">
        <v>16368</v>
      </c>
      <c r="C318" s="44">
        <v>438398</v>
      </c>
      <c r="D318" s="101" t="s">
        <v>851</v>
      </c>
      <c r="E318" s="45" t="s">
        <v>45</v>
      </c>
      <c r="F318" s="12" t="s">
        <v>31</v>
      </c>
      <c r="G318" s="12" t="s">
        <v>31</v>
      </c>
      <c r="H318" s="12" t="s">
        <v>31</v>
      </c>
      <c r="I318" s="143" t="s">
        <v>31</v>
      </c>
      <c r="J318" s="78">
        <f t="shared" si="15"/>
        <v>1.1000000000000001</v>
      </c>
      <c r="K318" s="79">
        <v>0.1</v>
      </c>
      <c r="L318" s="143">
        <v>100</v>
      </c>
      <c r="M318" s="144" t="s">
        <v>31</v>
      </c>
    </row>
    <row r="319" spans="1:13" ht="141.75" customHeight="1" x14ac:dyDescent="0.2">
      <c r="A319" s="43">
        <v>314</v>
      </c>
      <c r="B319" s="48">
        <v>16369</v>
      </c>
      <c r="C319" s="44">
        <v>438399</v>
      </c>
      <c r="D319" s="101" t="s">
        <v>946</v>
      </c>
      <c r="E319" s="45" t="s">
        <v>45</v>
      </c>
      <c r="F319" s="12" t="s">
        <v>31</v>
      </c>
      <c r="G319" s="12" t="s">
        <v>31</v>
      </c>
      <c r="H319" s="12" t="s">
        <v>31</v>
      </c>
      <c r="I319" s="143" t="s">
        <v>31</v>
      </c>
      <c r="J319" s="78">
        <f t="shared" si="15"/>
        <v>1.1000000000000001</v>
      </c>
      <c r="K319" s="79">
        <v>0.1</v>
      </c>
      <c r="L319" s="143">
        <v>100</v>
      </c>
      <c r="M319" s="144" t="s">
        <v>31</v>
      </c>
    </row>
    <row r="320" spans="1:13" ht="141.75" customHeight="1" x14ac:dyDescent="0.2">
      <c r="A320" s="43">
        <v>315</v>
      </c>
      <c r="B320" s="48">
        <v>16370</v>
      </c>
      <c r="C320" s="44">
        <v>438400</v>
      </c>
      <c r="D320" s="101" t="s">
        <v>852</v>
      </c>
      <c r="E320" s="45" t="s">
        <v>45</v>
      </c>
      <c r="F320" s="12" t="s">
        <v>31</v>
      </c>
      <c r="G320" s="12" t="s">
        <v>31</v>
      </c>
      <c r="H320" s="12" t="s">
        <v>31</v>
      </c>
      <c r="I320" s="143" t="s">
        <v>31</v>
      </c>
      <c r="J320" s="78">
        <f t="shared" si="15"/>
        <v>1.1000000000000001</v>
      </c>
      <c r="K320" s="79">
        <v>0.1</v>
      </c>
      <c r="L320" s="143">
        <v>100</v>
      </c>
      <c r="M320" s="144" t="s">
        <v>31</v>
      </c>
    </row>
    <row r="321" spans="1:13" ht="141.75" customHeight="1" x14ac:dyDescent="0.2">
      <c r="A321" s="43">
        <v>316</v>
      </c>
      <c r="B321" s="48">
        <v>16371</v>
      </c>
      <c r="C321" s="44">
        <v>438951</v>
      </c>
      <c r="D321" s="101" t="s">
        <v>944</v>
      </c>
      <c r="E321" s="45" t="s">
        <v>45</v>
      </c>
      <c r="F321" s="12" t="s">
        <v>31</v>
      </c>
      <c r="G321" s="12" t="s">
        <v>31</v>
      </c>
      <c r="H321" s="12" t="s">
        <v>31</v>
      </c>
      <c r="I321" s="143" t="s">
        <v>31</v>
      </c>
      <c r="J321" s="78">
        <f t="shared" si="15"/>
        <v>1.1000000000000001</v>
      </c>
      <c r="K321" s="79">
        <v>0.1</v>
      </c>
      <c r="L321" s="143">
        <v>100</v>
      </c>
      <c r="M321" s="144" t="s">
        <v>31</v>
      </c>
    </row>
    <row r="322" spans="1:13" ht="141.75" customHeight="1" x14ac:dyDescent="0.2">
      <c r="A322" s="43">
        <v>317</v>
      </c>
      <c r="B322" s="48">
        <v>16372</v>
      </c>
      <c r="C322" s="44">
        <v>449606</v>
      </c>
      <c r="D322" s="101" t="s">
        <v>853</v>
      </c>
      <c r="E322" s="45" t="s">
        <v>45</v>
      </c>
      <c r="F322" s="12" t="s">
        <v>31</v>
      </c>
      <c r="G322" s="12" t="s">
        <v>31</v>
      </c>
      <c r="H322" s="12" t="s">
        <v>31</v>
      </c>
      <c r="I322" s="143" t="s">
        <v>31</v>
      </c>
      <c r="J322" s="78">
        <f t="shared" si="15"/>
        <v>1.1000000000000001</v>
      </c>
      <c r="K322" s="79">
        <v>0.1</v>
      </c>
      <c r="L322" s="143">
        <v>50</v>
      </c>
      <c r="M322" s="144" t="s">
        <v>31</v>
      </c>
    </row>
    <row r="323" spans="1:13" ht="141.75" customHeight="1" x14ac:dyDescent="0.2">
      <c r="A323" s="43">
        <v>318</v>
      </c>
      <c r="B323" s="48">
        <v>16373</v>
      </c>
      <c r="C323" s="44">
        <v>438401</v>
      </c>
      <c r="D323" s="101" t="s">
        <v>945</v>
      </c>
      <c r="E323" s="45" t="s">
        <v>45</v>
      </c>
      <c r="F323" s="12" t="s">
        <v>31</v>
      </c>
      <c r="G323" s="12" t="s">
        <v>31</v>
      </c>
      <c r="H323" s="12" t="s">
        <v>31</v>
      </c>
      <c r="I323" s="143" t="s">
        <v>31</v>
      </c>
      <c r="J323" s="78">
        <f t="shared" si="15"/>
        <v>1.1000000000000001</v>
      </c>
      <c r="K323" s="79">
        <v>0.1</v>
      </c>
      <c r="L323" s="143">
        <v>50</v>
      </c>
      <c r="M323" s="144" t="s">
        <v>31</v>
      </c>
    </row>
    <row r="324" spans="1:13" s="92" customFormat="1" ht="141.75" customHeight="1" x14ac:dyDescent="0.2">
      <c r="A324" s="43">
        <v>319</v>
      </c>
      <c r="B324" s="48">
        <v>16374</v>
      </c>
      <c r="C324" s="48">
        <v>600992</v>
      </c>
      <c r="D324" s="100" t="s">
        <v>942</v>
      </c>
      <c r="E324" s="47" t="s">
        <v>45</v>
      </c>
      <c r="F324" s="53" t="s">
        <v>31</v>
      </c>
      <c r="G324" s="12" t="s">
        <v>31</v>
      </c>
      <c r="H324" s="53" t="s">
        <v>31</v>
      </c>
      <c r="I324" s="46" t="s">
        <v>31</v>
      </c>
      <c r="J324" s="123">
        <f t="shared" si="15"/>
        <v>1.1000000000000001</v>
      </c>
      <c r="K324" s="124">
        <v>0.1</v>
      </c>
      <c r="L324" s="122">
        <v>10</v>
      </c>
      <c r="M324" s="139" t="s">
        <v>31</v>
      </c>
    </row>
    <row r="325" spans="1:13" s="92" customFormat="1" ht="141.75" customHeight="1" x14ac:dyDescent="0.2">
      <c r="A325" s="43">
        <v>320</v>
      </c>
      <c r="B325" s="48">
        <v>16375</v>
      </c>
      <c r="C325" s="48">
        <v>600993</v>
      </c>
      <c r="D325" s="100" t="s">
        <v>913</v>
      </c>
      <c r="E325" s="47" t="s">
        <v>45</v>
      </c>
      <c r="F325" s="53" t="s">
        <v>31</v>
      </c>
      <c r="G325" s="12" t="s">
        <v>31</v>
      </c>
      <c r="H325" s="53" t="s">
        <v>31</v>
      </c>
      <c r="I325" s="46" t="s">
        <v>31</v>
      </c>
      <c r="J325" s="123">
        <f t="shared" si="15"/>
        <v>1.1000000000000001</v>
      </c>
      <c r="K325" s="124">
        <v>0.1</v>
      </c>
      <c r="L325" s="122">
        <v>10</v>
      </c>
      <c r="M325" s="139" t="s">
        <v>31</v>
      </c>
    </row>
    <row r="326" spans="1:13" s="92" customFormat="1" ht="141.75" customHeight="1" x14ac:dyDescent="0.2">
      <c r="A326" s="43">
        <v>321</v>
      </c>
      <c r="B326" s="48">
        <v>16376</v>
      </c>
      <c r="C326" s="48">
        <v>601266</v>
      </c>
      <c r="D326" s="100" t="s">
        <v>857</v>
      </c>
      <c r="E326" s="47" t="s">
        <v>45</v>
      </c>
      <c r="F326" s="53" t="s">
        <v>31</v>
      </c>
      <c r="G326" s="12" t="s">
        <v>31</v>
      </c>
      <c r="H326" s="53" t="s">
        <v>31</v>
      </c>
      <c r="I326" s="46" t="s">
        <v>31</v>
      </c>
      <c r="J326" s="123">
        <f t="shared" si="15"/>
        <v>1.1000000000000001</v>
      </c>
      <c r="K326" s="124">
        <v>0.1</v>
      </c>
      <c r="L326" s="122">
        <v>11</v>
      </c>
      <c r="M326" s="139" t="s">
        <v>31</v>
      </c>
    </row>
    <row r="327" spans="1:13" s="92" customFormat="1" ht="141.75" customHeight="1" x14ac:dyDescent="0.2">
      <c r="A327" s="43">
        <v>322</v>
      </c>
      <c r="B327" s="48">
        <v>16377</v>
      </c>
      <c r="C327" s="48">
        <v>615326</v>
      </c>
      <c r="D327" s="100" t="s">
        <v>858</v>
      </c>
      <c r="E327" s="47" t="s">
        <v>45</v>
      </c>
      <c r="F327" s="53" t="s">
        <v>31</v>
      </c>
      <c r="G327" s="12" t="s">
        <v>31</v>
      </c>
      <c r="H327" s="53" t="s">
        <v>31</v>
      </c>
      <c r="I327" s="46" t="s">
        <v>31</v>
      </c>
      <c r="J327" s="123">
        <f t="shared" si="15"/>
        <v>1.1000000000000001</v>
      </c>
      <c r="K327" s="124">
        <v>0.1</v>
      </c>
      <c r="L327" s="122">
        <v>10</v>
      </c>
      <c r="M327" s="139" t="s">
        <v>31</v>
      </c>
    </row>
    <row r="328" spans="1:13" s="92" customFormat="1" ht="141.75" customHeight="1" x14ac:dyDescent="0.2">
      <c r="A328" s="43">
        <v>323</v>
      </c>
      <c r="B328" s="48">
        <v>16378</v>
      </c>
      <c r="C328" s="48" t="s">
        <v>31</v>
      </c>
      <c r="D328" s="100" t="s">
        <v>859</v>
      </c>
      <c r="E328" s="47" t="s">
        <v>45</v>
      </c>
      <c r="F328" s="53" t="s">
        <v>31</v>
      </c>
      <c r="G328" s="12" t="s">
        <v>31</v>
      </c>
      <c r="H328" s="53" t="s">
        <v>31</v>
      </c>
      <c r="I328" s="46" t="s">
        <v>31</v>
      </c>
      <c r="J328" s="123">
        <f t="shared" si="15"/>
        <v>1.1000000000000001</v>
      </c>
      <c r="K328" s="124">
        <v>0.1</v>
      </c>
      <c r="L328" s="122">
        <v>1000</v>
      </c>
      <c r="M328" s="139" t="s">
        <v>31</v>
      </c>
    </row>
    <row r="329" spans="1:13" s="92" customFormat="1" ht="85.5" customHeight="1" x14ac:dyDescent="0.2">
      <c r="A329" s="43">
        <v>324</v>
      </c>
      <c r="B329" s="48">
        <v>16379</v>
      </c>
      <c r="C329" s="48" t="s">
        <v>31</v>
      </c>
      <c r="D329" s="100" t="s">
        <v>860</v>
      </c>
      <c r="E329" s="47" t="s">
        <v>45</v>
      </c>
      <c r="F329" s="53" t="s">
        <v>31</v>
      </c>
      <c r="G329" s="12" t="s">
        <v>31</v>
      </c>
      <c r="H329" s="53" t="s">
        <v>31</v>
      </c>
      <c r="I329" s="46" t="s">
        <v>31</v>
      </c>
      <c r="J329" s="123">
        <f t="shared" si="15"/>
        <v>1.1000000000000001</v>
      </c>
      <c r="K329" s="124">
        <v>0.1</v>
      </c>
      <c r="L329" s="122">
        <v>12</v>
      </c>
      <c r="M329" s="139" t="s">
        <v>31</v>
      </c>
    </row>
    <row r="330" spans="1:13" s="92" customFormat="1" ht="80.25" customHeight="1" x14ac:dyDescent="0.2">
      <c r="A330" s="43">
        <v>325</v>
      </c>
      <c r="B330" s="48">
        <v>16380</v>
      </c>
      <c r="C330" s="48">
        <v>445191</v>
      </c>
      <c r="D330" s="100" t="s">
        <v>861</v>
      </c>
      <c r="E330" s="47" t="s">
        <v>45</v>
      </c>
      <c r="F330" s="53" t="s">
        <v>31</v>
      </c>
      <c r="G330" s="12" t="s">
        <v>31</v>
      </c>
      <c r="H330" s="53" t="s">
        <v>31</v>
      </c>
      <c r="I330" s="46" t="s">
        <v>31</v>
      </c>
      <c r="J330" s="123">
        <f t="shared" si="15"/>
        <v>1.1000000000000001</v>
      </c>
      <c r="K330" s="124">
        <v>0.1</v>
      </c>
      <c r="L330" s="122">
        <v>15</v>
      </c>
      <c r="M330" s="139" t="s">
        <v>31</v>
      </c>
    </row>
    <row r="331" spans="1:13" s="92" customFormat="1" ht="103.5" customHeight="1" x14ac:dyDescent="0.2">
      <c r="A331" s="43">
        <v>326</v>
      </c>
      <c r="B331" s="48">
        <v>16381</v>
      </c>
      <c r="C331" s="48" t="s">
        <v>31</v>
      </c>
      <c r="D331" s="100" t="s">
        <v>862</v>
      </c>
      <c r="E331" s="47" t="s">
        <v>45</v>
      </c>
      <c r="F331" s="53" t="s">
        <v>31</v>
      </c>
      <c r="G331" s="12" t="s">
        <v>31</v>
      </c>
      <c r="H331" s="53" t="s">
        <v>31</v>
      </c>
      <c r="I331" s="46" t="s">
        <v>31</v>
      </c>
      <c r="J331" s="123">
        <f t="shared" si="15"/>
        <v>1.1000000000000001</v>
      </c>
      <c r="K331" s="124">
        <v>0.1</v>
      </c>
      <c r="L331" s="122">
        <v>15</v>
      </c>
      <c r="M331" s="139" t="s">
        <v>31</v>
      </c>
    </row>
    <row r="332" spans="1:13" s="92" customFormat="1" ht="85.5" customHeight="1" x14ac:dyDescent="0.2">
      <c r="A332" s="43">
        <v>327</v>
      </c>
      <c r="B332" s="48">
        <v>16382</v>
      </c>
      <c r="C332" s="48">
        <v>474168</v>
      </c>
      <c r="D332" s="100" t="s">
        <v>863</v>
      </c>
      <c r="E332" s="47" t="s">
        <v>45</v>
      </c>
      <c r="F332" s="53" t="s">
        <v>31</v>
      </c>
      <c r="G332" s="12" t="s">
        <v>31</v>
      </c>
      <c r="H332" s="53" t="s">
        <v>31</v>
      </c>
      <c r="I332" s="46" t="s">
        <v>31</v>
      </c>
      <c r="J332" s="123">
        <f t="shared" si="15"/>
        <v>1.1000000000000001</v>
      </c>
      <c r="K332" s="124">
        <v>0.1</v>
      </c>
      <c r="L332" s="122">
        <v>15</v>
      </c>
      <c r="M332" s="139" t="s">
        <v>31</v>
      </c>
    </row>
    <row r="333" spans="1:13" s="92" customFormat="1" ht="112.5" customHeight="1" x14ac:dyDescent="0.2">
      <c r="A333" s="43">
        <v>328</v>
      </c>
      <c r="B333" s="48">
        <v>16383</v>
      </c>
      <c r="C333" s="48">
        <v>454854</v>
      </c>
      <c r="D333" s="100" t="s">
        <v>864</v>
      </c>
      <c r="E333" s="47" t="s">
        <v>45</v>
      </c>
      <c r="F333" s="53" t="s">
        <v>31</v>
      </c>
      <c r="G333" s="12" t="s">
        <v>31</v>
      </c>
      <c r="H333" s="53" t="s">
        <v>31</v>
      </c>
      <c r="I333" s="46" t="s">
        <v>31</v>
      </c>
      <c r="J333" s="123">
        <f t="shared" si="15"/>
        <v>1.1000000000000001</v>
      </c>
      <c r="K333" s="124">
        <v>0.1</v>
      </c>
      <c r="L333" s="122">
        <v>1</v>
      </c>
      <c r="M333" s="139" t="s">
        <v>31</v>
      </c>
    </row>
    <row r="334" spans="1:13" s="92" customFormat="1" ht="101.25" customHeight="1" x14ac:dyDescent="0.2">
      <c r="A334" s="43">
        <v>329</v>
      </c>
      <c r="B334" s="48">
        <v>16384</v>
      </c>
      <c r="C334" s="48">
        <v>458264</v>
      </c>
      <c r="D334" s="100" t="s">
        <v>865</v>
      </c>
      <c r="E334" s="47" t="s">
        <v>45</v>
      </c>
      <c r="F334" s="53" t="s">
        <v>31</v>
      </c>
      <c r="G334" s="12" t="s">
        <v>31</v>
      </c>
      <c r="H334" s="53" t="s">
        <v>31</v>
      </c>
      <c r="I334" s="46" t="s">
        <v>31</v>
      </c>
      <c r="J334" s="123">
        <f t="shared" si="15"/>
        <v>1.1000000000000001</v>
      </c>
      <c r="K334" s="124">
        <v>0.1</v>
      </c>
      <c r="L334" s="122">
        <v>9</v>
      </c>
      <c r="M334" s="139" t="s">
        <v>31</v>
      </c>
    </row>
    <row r="335" spans="1:13" s="92" customFormat="1" ht="141.75" customHeight="1" x14ac:dyDescent="0.2">
      <c r="A335" s="43">
        <v>330</v>
      </c>
      <c r="B335" s="48">
        <v>16385</v>
      </c>
      <c r="C335" s="48">
        <v>317045</v>
      </c>
      <c r="D335" s="100" t="s">
        <v>856</v>
      </c>
      <c r="E335" s="47" t="s">
        <v>45</v>
      </c>
      <c r="F335" s="53" t="s">
        <v>31</v>
      </c>
      <c r="G335" s="12" t="s">
        <v>31</v>
      </c>
      <c r="H335" s="53" t="s">
        <v>31</v>
      </c>
      <c r="I335" s="46" t="s">
        <v>31</v>
      </c>
      <c r="J335" s="123">
        <f t="shared" si="15"/>
        <v>1.1000000000000001</v>
      </c>
      <c r="K335" s="124">
        <v>0.1</v>
      </c>
      <c r="L335" s="122">
        <v>10</v>
      </c>
      <c r="M335" s="139" t="s">
        <v>31</v>
      </c>
    </row>
    <row r="336" spans="1:13" s="92" customFormat="1" ht="141.75" customHeight="1" x14ac:dyDescent="0.2">
      <c r="A336" s="43">
        <v>331</v>
      </c>
      <c r="B336" s="48">
        <v>16386</v>
      </c>
      <c r="C336" s="48">
        <v>479757</v>
      </c>
      <c r="D336" s="100" t="s">
        <v>918</v>
      </c>
      <c r="E336" s="47" t="s">
        <v>45</v>
      </c>
      <c r="F336" s="53" t="s">
        <v>31</v>
      </c>
      <c r="G336" s="12" t="s">
        <v>31</v>
      </c>
      <c r="H336" s="53" t="s">
        <v>31</v>
      </c>
      <c r="I336" s="46" t="s">
        <v>31</v>
      </c>
      <c r="J336" s="123">
        <f t="shared" si="15"/>
        <v>1.1000000000000001</v>
      </c>
      <c r="K336" s="124">
        <v>0.1</v>
      </c>
      <c r="L336" s="122">
        <v>500</v>
      </c>
      <c r="M336" s="139" t="s">
        <v>31</v>
      </c>
    </row>
    <row r="337" spans="1:13" s="92" customFormat="1" ht="141.75" customHeight="1" x14ac:dyDescent="0.2">
      <c r="A337" s="43">
        <v>332</v>
      </c>
      <c r="B337" s="48">
        <v>16387</v>
      </c>
      <c r="C337" s="48">
        <v>479759</v>
      </c>
      <c r="D337" s="100" t="s">
        <v>887</v>
      </c>
      <c r="E337" s="47" t="s">
        <v>45</v>
      </c>
      <c r="F337" s="53" t="s">
        <v>31</v>
      </c>
      <c r="G337" s="12" t="s">
        <v>31</v>
      </c>
      <c r="H337" s="53" t="s">
        <v>31</v>
      </c>
      <c r="I337" s="46" t="s">
        <v>31</v>
      </c>
      <c r="J337" s="123">
        <f t="shared" si="15"/>
        <v>1.1000000000000001</v>
      </c>
      <c r="K337" s="124">
        <v>0.1</v>
      </c>
      <c r="L337" s="122">
        <v>500</v>
      </c>
      <c r="M337" s="139" t="s">
        <v>31</v>
      </c>
    </row>
    <row r="338" spans="1:13" s="92" customFormat="1" ht="141.75" customHeight="1" x14ac:dyDescent="0.2">
      <c r="A338" s="43">
        <v>333</v>
      </c>
      <c r="B338" s="48">
        <v>16388</v>
      </c>
      <c r="C338" s="48">
        <v>434278</v>
      </c>
      <c r="D338" s="100" t="s">
        <v>866</v>
      </c>
      <c r="E338" s="47" t="s">
        <v>45</v>
      </c>
      <c r="F338" s="53" t="s">
        <v>31</v>
      </c>
      <c r="G338" s="12" t="s">
        <v>31</v>
      </c>
      <c r="H338" s="53" t="s">
        <v>31</v>
      </c>
      <c r="I338" s="46" t="s">
        <v>31</v>
      </c>
      <c r="J338" s="123">
        <f t="shared" si="15"/>
        <v>1.1000000000000001</v>
      </c>
      <c r="K338" s="124">
        <v>0.1</v>
      </c>
      <c r="L338" s="122">
        <v>60</v>
      </c>
      <c r="M338" s="139" t="s">
        <v>31</v>
      </c>
    </row>
    <row r="339" spans="1:13" s="92" customFormat="1" ht="141.75" customHeight="1" x14ac:dyDescent="0.2">
      <c r="A339" s="43">
        <v>334</v>
      </c>
      <c r="B339" s="48">
        <v>16389</v>
      </c>
      <c r="C339" s="48" t="s">
        <v>31</v>
      </c>
      <c r="D339" s="100" t="s">
        <v>867</v>
      </c>
      <c r="E339" s="47" t="s">
        <v>45</v>
      </c>
      <c r="F339" s="53" t="s">
        <v>31</v>
      </c>
      <c r="G339" s="12" t="s">
        <v>31</v>
      </c>
      <c r="H339" s="53" t="s">
        <v>31</v>
      </c>
      <c r="I339" s="46" t="s">
        <v>31</v>
      </c>
      <c r="J339" s="123">
        <f t="shared" si="15"/>
        <v>1.1000000000000001</v>
      </c>
      <c r="K339" s="124">
        <v>0.1</v>
      </c>
      <c r="L339" s="122">
        <v>80</v>
      </c>
      <c r="M339" s="139" t="s">
        <v>31</v>
      </c>
    </row>
    <row r="340" spans="1:13" s="92" customFormat="1" ht="141.75" customHeight="1" x14ac:dyDescent="0.2">
      <c r="A340" s="43">
        <v>335</v>
      </c>
      <c r="B340" s="48">
        <v>16390</v>
      </c>
      <c r="C340" s="48">
        <v>482047</v>
      </c>
      <c r="D340" s="100" t="s">
        <v>868</v>
      </c>
      <c r="E340" s="47" t="s">
        <v>45</v>
      </c>
      <c r="F340" s="53" t="s">
        <v>31</v>
      </c>
      <c r="G340" s="12" t="s">
        <v>31</v>
      </c>
      <c r="H340" s="53" t="s">
        <v>31</v>
      </c>
      <c r="I340" s="46" t="s">
        <v>31</v>
      </c>
      <c r="J340" s="123">
        <f t="shared" si="15"/>
        <v>1.1000000000000001</v>
      </c>
      <c r="K340" s="124">
        <v>0.1</v>
      </c>
      <c r="L340" s="122">
        <v>10</v>
      </c>
      <c r="M340" s="139" t="s">
        <v>31</v>
      </c>
    </row>
    <row r="341" spans="1:13" s="92" customFormat="1" ht="141.75" customHeight="1" x14ac:dyDescent="0.2">
      <c r="A341" s="43">
        <v>336</v>
      </c>
      <c r="B341" s="48">
        <v>16391</v>
      </c>
      <c r="C341" s="48">
        <v>458131</v>
      </c>
      <c r="D341" s="100" t="s">
        <v>869</v>
      </c>
      <c r="E341" s="47" t="s">
        <v>45</v>
      </c>
      <c r="F341" s="53" t="s">
        <v>31</v>
      </c>
      <c r="G341" s="12" t="s">
        <v>31</v>
      </c>
      <c r="H341" s="53" t="s">
        <v>31</v>
      </c>
      <c r="I341" s="46" t="s">
        <v>31</v>
      </c>
      <c r="J341" s="123">
        <f t="shared" si="15"/>
        <v>1.1000000000000001</v>
      </c>
      <c r="K341" s="124">
        <v>0.1</v>
      </c>
      <c r="L341" s="122">
        <v>1000</v>
      </c>
      <c r="M341" s="139" t="s">
        <v>31</v>
      </c>
    </row>
    <row r="342" spans="1:13" s="92" customFormat="1" ht="141.75" customHeight="1" x14ac:dyDescent="0.2">
      <c r="A342" s="43">
        <v>337</v>
      </c>
      <c r="B342" s="48">
        <v>16392</v>
      </c>
      <c r="C342" s="48">
        <v>269073</v>
      </c>
      <c r="D342" s="100" t="s">
        <v>870</v>
      </c>
      <c r="E342" s="47" t="s">
        <v>45</v>
      </c>
      <c r="F342" s="53" t="s">
        <v>31</v>
      </c>
      <c r="G342" s="12" t="s">
        <v>31</v>
      </c>
      <c r="H342" s="53" t="s">
        <v>31</v>
      </c>
      <c r="I342" s="46" t="s">
        <v>31</v>
      </c>
      <c r="J342" s="123">
        <f t="shared" si="15"/>
        <v>1.1000000000000001</v>
      </c>
      <c r="K342" s="124">
        <v>0.1</v>
      </c>
      <c r="L342" s="122">
        <v>100</v>
      </c>
      <c r="M342" s="139" t="s">
        <v>31</v>
      </c>
    </row>
    <row r="343" spans="1:13" s="92" customFormat="1" ht="141.75" customHeight="1" x14ac:dyDescent="0.2">
      <c r="A343" s="43">
        <v>338</v>
      </c>
      <c r="B343" s="48">
        <v>16394</v>
      </c>
      <c r="C343" s="48">
        <v>442460</v>
      </c>
      <c r="D343" s="100" t="s">
        <v>871</v>
      </c>
      <c r="E343" s="47" t="s">
        <v>45</v>
      </c>
      <c r="F343" s="53" t="s">
        <v>31</v>
      </c>
      <c r="G343" s="12" t="s">
        <v>31</v>
      </c>
      <c r="H343" s="53" t="s">
        <v>31</v>
      </c>
      <c r="I343" s="46" t="s">
        <v>31</v>
      </c>
      <c r="J343" s="123">
        <f t="shared" si="15"/>
        <v>1.1000000000000001</v>
      </c>
      <c r="K343" s="124">
        <v>0.1</v>
      </c>
      <c r="L343" s="122">
        <v>38</v>
      </c>
      <c r="M343" s="139" t="s">
        <v>31</v>
      </c>
    </row>
    <row r="344" spans="1:13" s="92" customFormat="1" ht="141.75" customHeight="1" x14ac:dyDescent="0.2">
      <c r="A344" s="43">
        <v>339</v>
      </c>
      <c r="B344" s="48">
        <v>16399</v>
      </c>
      <c r="C344" s="48">
        <v>467874</v>
      </c>
      <c r="D344" s="100" t="s">
        <v>888</v>
      </c>
      <c r="E344" s="47" t="s">
        <v>45</v>
      </c>
      <c r="F344" s="53" t="s">
        <v>31</v>
      </c>
      <c r="G344" s="12" t="s">
        <v>31</v>
      </c>
      <c r="H344" s="53" t="s">
        <v>31</v>
      </c>
      <c r="I344" s="46" t="s">
        <v>31</v>
      </c>
      <c r="J344" s="123">
        <f t="shared" ref="J344:J351" si="16">1+K344</f>
        <v>1.1000000000000001</v>
      </c>
      <c r="K344" s="124">
        <v>0.1</v>
      </c>
      <c r="L344" s="122">
        <v>2000</v>
      </c>
      <c r="M344" s="139" t="s">
        <v>31</v>
      </c>
    </row>
    <row r="345" spans="1:13" s="92" customFormat="1" ht="141.75" customHeight="1" x14ac:dyDescent="0.2">
      <c r="A345" s="43">
        <v>340</v>
      </c>
      <c r="B345" s="48">
        <v>16395</v>
      </c>
      <c r="C345" s="48" t="s">
        <v>31</v>
      </c>
      <c r="D345" s="100" t="s">
        <v>854</v>
      </c>
      <c r="E345" s="47" t="s">
        <v>45</v>
      </c>
      <c r="F345" s="53" t="s">
        <v>31</v>
      </c>
      <c r="G345" s="12" t="s">
        <v>31</v>
      </c>
      <c r="H345" s="53" t="s">
        <v>31</v>
      </c>
      <c r="I345" s="46" t="s">
        <v>31</v>
      </c>
      <c r="J345" s="123">
        <f t="shared" si="16"/>
        <v>1.1000000000000001</v>
      </c>
      <c r="K345" s="124">
        <v>0.1</v>
      </c>
      <c r="L345" s="122">
        <v>2000</v>
      </c>
      <c r="M345" s="139" t="s">
        <v>31</v>
      </c>
    </row>
    <row r="346" spans="1:13" s="92" customFormat="1" ht="141.75" customHeight="1" x14ac:dyDescent="0.2">
      <c r="A346" s="43">
        <v>341</v>
      </c>
      <c r="B346" s="48">
        <v>16398</v>
      </c>
      <c r="C346" s="48">
        <v>279895</v>
      </c>
      <c r="D346" s="100" t="s">
        <v>855</v>
      </c>
      <c r="E346" s="47" t="s">
        <v>45</v>
      </c>
      <c r="F346" s="53" t="s">
        <v>31</v>
      </c>
      <c r="G346" s="12" t="s">
        <v>31</v>
      </c>
      <c r="H346" s="53" t="s">
        <v>31</v>
      </c>
      <c r="I346" s="46" t="s">
        <v>31</v>
      </c>
      <c r="J346" s="123">
        <f t="shared" si="16"/>
        <v>1.1000000000000001</v>
      </c>
      <c r="K346" s="124">
        <v>0.1</v>
      </c>
      <c r="L346" s="122">
        <v>300</v>
      </c>
      <c r="M346" s="139" t="s">
        <v>31</v>
      </c>
    </row>
    <row r="347" spans="1:13" s="92" customFormat="1" ht="58.5" customHeight="1" x14ac:dyDescent="0.2">
      <c r="A347" s="43">
        <v>342</v>
      </c>
      <c r="B347" s="48">
        <v>8050</v>
      </c>
      <c r="C347" s="48">
        <v>274863</v>
      </c>
      <c r="D347" s="101" t="s">
        <v>873</v>
      </c>
      <c r="E347" s="47" t="s">
        <v>45</v>
      </c>
      <c r="F347" s="53" t="s">
        <v>31</v>
      </c>
      <c r="G347" s="12" t="s">
        <v>31</v>
      </c>
      <c r="H347" s="53" t="s">
        <v>31</v>
      </c>
      <c r="I347" s="46" t="s">
        <v>31</v>
      </c>
      <c r="J347" s="123">
        <f t="shared" si="16"/>
        <v>1.1000000000000001</v>
      </c>
      <c r="K347" s="124">
        <v>0.1</v>
      </c>
      <c r="L347" s="122">
        <v>10</v>
      </c>
      <c r="M347" s="139" t="s">
        <v>31</v>
      </c>
    </row>
    <row r="348" spans="1:13" s="92" customFormat="1" ht="90" customHeight="1" x14ac:dyDescent="0.2">
      <c r="A348" s="43">
        <v>343</v>
      </c>
      <c r="B348" s="125">
        <v>16400</v>
      </c>
      <c r="C348" s="125">
        <v>436498</v>
      </c>
      <c r="D348" s="142" t="s">
        <v>874</v>
      </c>
      <c r="E348" s="127" t="s">
        <v>45</v>
      </c>
      <c r="F348" s="53" t="s">
        <v>31</v>
      </c>
      <c r="G348" s="12" t="s">
        <v>31</v>
      </c>
      <c r="H348" s="53" t="s">
        <v>31</v>
      </c>
      <c r="I348" s="46" t="s">
        <v>31</v>
      </c>
      <c r="J348" s="80">
        <f t="shared" si="16"/>
        <v>1.1000000000000001</v>
      </c>
      <c r="K348" s="81">
        <v>0.1</v>
      </c>
      <c r="L348" s="122">
        <v>10</v>
      </c>
      <c r="M348" s="139" t="s">
        <v>31</v>
      </c>
    </row>
    <row r="349" spans="1:13" s="92" customFormat="1" ht="102" x14ac:dyDescent="0.2">
      <c r="A349" s="43">
        <v>344</v>
      </c>
      <c r="B349" s="125">
        <v>16403</v>
      </c>
      <c r="C349" s="125" t="s">
        <v>31</v>
      </c>
      <c r="D349" s="100" t="s">
        <v>883</v>
      </c>
      <c r="E349" s="127" t="s">
        <v>45</v>
      </c>
      <c r="F349" s="53" t="s">
        <v>31</v>
      </c>
      <c r="G349" s="12" t="s">
        <v>31</v>
      </c>
      <c r="H349" s="53" t="s">
        <v>31</v>
      </c>
      <c r="I349" s="46" t="s">
        <v>31</v>
      </c>
      <c r="J349" s="80">
        <f t="shared" si="16"/>
        <v>1.1000000000000001</v>
      </c>
      <c r="K349" s="81">
        <v>0.1</v>
      </c>
      <c r="L349" s="122">
        <v>15</v>
      </c>
      <c r="M349" s="139" t="s">
        <v>31</v>
      </c>
    </row>
    <row r="350" spans="1:13" s="92" customFormat="1" ht="93" customHeight="1" x14ac:dyDescent="0.2">
      <c r="A350" s="43">
        <v>345</v>
      </c>
      <c r="B350" s="125">
        <v>16404</v>
      </c>
      <c r="C350" s="125" t="s">
        <v>31</v>
      </c>
      <c r="D350" s="126" t="s">
        <v>884</v>
      </c>
      <c r="E350" s="127" t="s">
        <v>886</v>
      </c>
      <c r="F350" s="53" t="s">
        <v>31</v>
      </c>
      <c r="G350" s="12" t="s">
        <v>31</v>
      </c>
      <c r="H350" s="53" t="s">
        <v>31</v>
      </c>
      <c r="I350" s="46" t="s">
        <v>31</v>
      </c>
      <c r="J350" s="80">
        <f t="shared" si="16"/>
        <v>1.1000000000000001</v>
      </c>
      <c r="K350" s="81">
        <v>0.1</v>
      </c>
      <c r="L350" s="122">
        <v>15</v>
      </c>
      <c r="M350" s="139" t="s">
        <v>31</v>
      </c>
    </row>
    <row r="351" spans="1:13" s="92" customFormat="1" ht="141.75" customHeight="1" x14ac:dyDescent="0.2">
      <c r="A351" s="43">
        <v>346</v>
      </c>
      <c r="B351" s="48">
        <v>16405</v>
      </c>
      <c r="C351" s="48" t="s">
        <v>31</v>
      </c>
      <c r="D351" s="100" t="s">
        <v>885</v>
      </c>
      <c r="E351" s="47" t="s">
        <v>44</v>
      </c>
      <c r="F351" s="53" t="s">
        <v>31</v>
      </c>
      <c r="G351" s="12" t="s">
        <v>31</v>
      </c>
      <c r="H351" s="53" t="s">
        <v>31</v>
      </c>
      <c r="I351" s="46" t="s">
        <v>31</v>
      </c>
      <c r="J351" s="123">
        <f t="shared" si="16"/>
        <v>1.1000000000000001</v>
      </c>
      <c r="K351" s="124">
        <v>0.1</v>
      </c>
      <c r="L351" s="122">
        <v>10</v>
      </c>
      <c r="M351" s="139" t="s">
        <v>31</v>
      </c>
    </row>
    <row r="352" spans="1:13" x14ac:dyDescent="0.2">
      <c r="A352" s="82"/>
      <c r="B352" s="83"/>
      <c r="C352" s="83"/>
      <c r="D352" s="107"/>
      <c r="E352" s="84"/>
      <c r="F352" s="85"/>
      <c r="G352" s="85"/>
      <c r="H352" s="85"/>
      <c r="I352" s="86"/>
      <c r="J352" s="87"/>
      <c r="K352" s="88"/>
      <c r="L352" s="86"/>
    </row>
    <row r="353" spans="1:13" ht="69.75" customHeight="1" x14ac:dyDescent="0.2">
      <c r="A353" s="152" t="s">
        <v>941</v>
      </c>
      <c r="B353" s="153"/>
      <c r="C353" s="153"/>
      <c r="D353" s="153"/>
      <c r="E353" s="153"/>
      <c r="F353" s="153"/>
      <c r="G353" s="153"/>
      <c r="H353" s="153"/>
      <c r="I353" s="153"/>
      <c r="J353" s="153"/>
      <c r="K353" s="153"/>
      <c r="L353" s="153"/>
      <c r="M353" s="154"/>
    </row>
    <row r="354" spans="1:13" ht="63.75" customHeight="1" x14ac:dyDescent="0.2">
      <c r="A354" s="152" t="s">
        <v>940</v>
      </c>
      <c r="B354" s="153"/>
      <c r="C354" s="153"/>
      <c r="D354" s="153"/>
      <c r="E354" s="153"/>
      <c r="F354" s="153"/>
      <c r="G354" s="153"/>
      <c r="H354" s="153"/>
      <c r="I354" s="153"/>
      <c r="J354" s="153"/>
      <c r="K354" s="153"/>
      <c r="L354" s="153"/>
      <c r="M354" s="154"/>
    </row>
    <row r="355" spans="1:13" ht="20.25" customHeight="1" x14ac:dyDescent="0.2">
      <c r="A355" s="166" t="s">
        <v>11</v>
      </c>
      <c r="B355" s="166"/>
      <c r="C355" s="166"/>
      <c r="D355" s="166"/>
      <c r="E355" s="166"/>
      <c r="F355" s="166"/>
      <c r="G355" s="166"/>
      <c r="H355" s="166"/>
      <c r="I355" s="166"/>
      <c r="J355" s="28"/>
      <c r="K355" s="29"/>
      <c r="L355" s="30"/>
    </row>
    <row r="356" spans="1:13" ht="29.25" customHeight="1" x14ac:dyDescent="0.2">
      <c r="A356" s="167" t="s">
        <v>42</v>
      </c>
      <c r="B356" s="167"/>
      <c r="C356" s="168" t="s">
        <v>12</v>
      </c>
      <c r="D356" s="168"/>
      <c r="E356" s="168"/>
      <c r="F356" s="168"/>
      <c r="G356" s="168"/>
      <c r="H356" s="168"/>
      <c r="I356" s="168"/>
      <c r="J356" s="28"/>
      <c r="K356" s="29"/>
      <c r="L356" s="30"/>
    </row>
    <row r="357" spans="1:13" ht="39" customHeight="1" x14ac:dyDescent="0.2">
      <c r="A357" s="169" t="s">
        <v>43</v>
      </c>
      <c r="B357" s="169"/>
      <c r="C357" s="170" t="s">
        <v>13</v>
      </c>
      <c r="D357" s="170"/>
      <c r="E357" s="170"/>
      <c r="F357" s="170"/>
      <c r="G357" s="170"/>
      <c r="H357" s="170"/>
      <c r="I357" s="170"/>
      <c r="J357" s="28"/>
      <c r="K357" s="29"/>
      <c r="L357" s="30"/>
    </row>
    <row r="358" spans="1:13" ht="33" customHeight="1" x14ac:dyDescent="0.2">
      <c r="J358" s="28"/>
      <c r="K358" s="29"/>
      <c r="L358" s="30"/>
    </row>
    <row r="359" spans="1:13" x14ac:dyDescent="0.2">
      <c r="A359" s="165" t="s">
        <v>14</v>
      </c>
      <c r="B359" s="165"/>
      <c r="C359" s="165"/>
      <c r="D359" s="165"/>
      <c r="E359" s="165"/>
      <c r="F359" s="165"/>
      <c r="G359" s="165"/>
      <c r="H359" s="165"/>
      <c r="I359" s="165"/>
      <c r="J359" s="28"/>
      <c r="K359" s="29"/>
      <c r="L359" s="30"/>
    </row>
    <row r="360" spans="1:13" x14ac:dyDescent="0.2">
      <c r="A360" s="165" t="s">
        <v>15</v>
      </c>
      <c r="B360" s="165"/>
      <c r="C360" s="165"/>
      <c r="D360" s="165"/>
      <c r="E360" s="165"/>
      <c r="F360" s="165"/>
      <c r="G360" s="165"/>
      <c r="H360" s="165"/>
      <c r="I360" s="165"/>
      <c r="J360" s="28"/>
      <c r="K360" s="29"/>
      <c r="L360" s="30"/>
    </row>
    <row r="361" spans="1:13" x14ac:dyDescent="0.2">
      <c r="A361" s="94"/>
      <c r="B361" s="95"/>
      <c r="C361" s="95"/>
      <c r="D361" s="109"/>
      <c r="E361" s="95"/>
      <c r="F361" s="95"/>
      <c r="G361" s="95"/>
      <c r="H361" s="95"/>
      <c r="I361" s="95"/>
      <c r="J361" s="28"/>
      <c r="K361" s="29"/>
      <c r="L361" s="30"/>
    </row>
    <row r="362" spans="1:13" ht="77.25" customHeight="1" x14ac:dyDescent="0.2">
      <c r="A362" s="94"/>
      <c r="B362" s="95"/>
      <c r="C362" s="95"/>
      <c r="D362" s="109"/>
      <c r="E362" s="95"/>
      <c r="F362" s="95"/>
      <c r="G362" s="95"/>
      <c r="H362" s="95"/>
      <c r="I362" s="95"/>
      <c r="J362" s="28"/>
      <c r="K362" s="29"/>
      <c r="L362" s="30"/>
    </row>
    <row r="363" spans="1:13" ht="77.25" customHeight="1" x14ac:dyDescent="0.2">
      <c r="A363" s="94"/>
      <c r="B363" s="95"/>
      <c r="C363" s="95"/>
      <c r="D363" s="109"/>
      <c r="E363" s="95"/>
      <c r="F363" s="95"/>
      <c r="G363" s="95"/>
      <c r="H363" s="95"/>
      <c r="I363" s="95"/>
      <c r="J363" s="28"/>
      <c r="K363" s="29"/>
      <c r="L363" s="30"/>
    </row>
    <row r="364" spans="1:13" ht="77.25" customHeight="1" x14ac:dyDescent="0.2">
      <c r="A364" s="96"/>
      <c r="J364" s="28"/>
      <c r="K364" s="29"/>
      <c r="L364" s="30"/>
    </row>
    <row r="365" spans="1:13" ht="77.25" customHeight="1" x14ac:dyDescent="0.2">
      <c r="J365" s="28"/>
      <c r="K365" s="29"/>
      <c r="L365" s="30"/>
    </row>
    <row r="366" spans="1:13" ht="77.25" customHeight="1" x14ac:dyDescent="0.2">
      <c r="J366" s="28"/>
      <c r="K366" s="29"/>
      <c r="L366" s="30"/>
    </row>
    <row r="367" spans="1:13" ht="77.25" customHeight="1" x14ac:dyDescent="0.2">
      <c r="J367" s="28"/>
      <c r="K367" s="29"/>
      <c r="L367" s="30"/>
    </row>
    <row r="368" spans="1:13" ht="77.25" customHeight="1" x14ac:dyDescent="0.2">
      <c r="J368" s="28"/>
      <c r="K368" s="29"/>
      <c r="L368" s="30"/>
    </row>
    <row r="369" spans="10:12" ht="77.25" customHeight="1" x14ac:dyDescent="0.2">
      <c r="J369" s="28"/>
      <c r="K369" s="29"/>
      <c r="L369" s="30"/>
    </row>
    <row r="370" spans="10:12" ht="77.25" customHeight="1" x14ac:dyDescent="0.2">
      <c r="J370" s="28"/>
      <c r="K370" s="29"/>
      <c r="L370" s="30"/>
    </row>
    <row r="371" spans="10:12" ht="77.25" customHeight="1" x14ac:dyDescent="0.2">
      <c r="J371" s="28"/>
      <c r="K371" s="29"/>
      <c r="L371" s="30"/>
    </row>
    <row r="372" spans="10:12" ht="77.25" customHeight="1" x14ac:dyDescent="0.2">
      <c r="J372" s="28"/>
      <c r="K372" s="29"/>
      <c r="L372" s="30"/>
    </row>
    <row r="373" spans="10:12" ht="77.25" customHeight="1" x14ac:dyDescent="0.2">
      <c r="J373" s="28"/>
      <c r="K373" s="29"/>
      <c r="L373" s="30"/>
    </row>
    <row r="374" spans="10:12" ht="77.25" customHeight="1" x14ac:dyDescent="0.2">
      <c r="J374" s="28"/>
      <c r="K374" s="29"/>
      <c r="L374" s="30"/>
    </row>
    <row r="375" spans="10:12" ht="77.25" customHeight="1" x14ac:dyDescent="0.2">
      <c r="J375" s="28"/>
      <c r="K375" s="29"/>
      <c r="L375" s="30"/>
    </row>
    <row r="376" spans="10:12" ht="77.25" customHeight="1" x14ac:dyDescent="0.2">
      <c r="J376" s="28"/>
      <c r="K376" s="29"/>
      <c r="L376" s="30"/>
    </row>
    <row r="377" spans="10:12" x14ac:dyDescent="0.2">
      <c r="J377" s="28"/>
      <c r="K377" s="29"/>
      <c r="L377" s="30"/>
    </row>
    <row r="378" spans="10:12" ht="30.6" customHeight="1" x14ac:dyDescent="0.2">
      <c r="J378" s="28"/>
      <c r="K378" s="29"/>
      <c r="L378" s="30"/>
    </row>
    <row r="379" spans="10:12" x14ac:dyDescent="0.2">
      <c r="J379" s="28"/>
      <c r="K379" s="29"/>
      <c r="L379" s="30"/>
    </row>
    <row r="380" spans="10:12" x14ac:dyDescent="0.2">
      <c r="J380" s="28"/>
      <c r="K380" s="29"/>
      <c r="L380" s="30"/>
    </row>
    <row r="381" spans="10:12" x14ac:dyDescent="0.2">
      <c r="J381" s="28"/>
      <c r="K381" s="29"/>
      <c r="L381" s="30"/>
    </row>
    <row r="382" spans="10:12" x14ac:dyDescent="0.2">
      <c r="J382" s="28"/>
      <c r="K382" s="29"/>
      <c r="L382" s="30"/>
    </row>
    <row r="383" spans="10:12" x14ac:dyDescent="0.2">
      <c r="J383" s="28"/>
      <c r="K383" s="29"/>
      <c r="L383" s="30"/>
    </row>
    <row r="384" spans="10:12" ht="26.25" customHeight="1" x14ac:dyDescent="0.2">
      <c r="J384" s="28"/>
      <c r="K384" s="29"/>
      <c r="L384" s="30"/>
    </row>
    <row r="385" spans="10:12" ht="31.5" customHeight="1" x14ac:dyDescent="0.2">
      <c r="J385" s="28"/>
      <c r="K385" s="29"/>
      <c r="L385" s="30"/>
    </row>
    <row r="386" spans="10:12" x14ac:dyDescent="0.2">
      <c r="J386" s="28"/>
      <c r="K386" s="29"/>
      <c r="L386" s="30"/>
    </row>
    <row r="387" spans="10:12" x14ac:dyDescent="0.2">
      <c r="J387" s="28"/>
      <c r="K387" s="29"/>
      <c r="L387" s="30"/>
    </row>
    <row r="388" spans="10:12" x14ac:dyDescent="0.2">
      <c r="J388" s="28"/>
      <c r="K388" s="29"/>
      <c r="L388" s="30"/>
    </row>
    <row r="389" spans="10:12" x14ac:dyDescent="0.2">
      <c r="J389" s="28"/>
      <c r="K389" s="29"/>
      <c r="L389" s="30"/>
    </row>
    <row r="390" spans="10:12" x14ac:dyDescent="0.2">
      <c r="J390" s="28"/>
      <c r="K390" s="29"/>
      <c r="L390" s="30"/>
    </row>
    <row r="391" spans="10:12" x14ac:dyDescent="0.2">
      <c r="J391" s="28"/>
      <c r="K391" s="29"/>
      <c r="L391" s="30"/>
    </row>
    <row r="392" spans="10:12" x14ac:dyDescent="0.2">
      <c r="J392" s="28"/>
      <c r="K392" s="29"/>
      <c r="L392" s="30"/>
    </row>
    <row r="393" spans="10:12" x14ac:dyDescent="0.2">
      <c r="J393" s="28"/>
      <c r="K393" s="29"/>
      <c r="L393" s="30"/>
    </row>
    <row r="394" spans="10:12" x14ac:dyDescent="0.2">
      <c r="J394" s="28"/>
      <c r="K394" s="29"/>
      <c r="L394" s="30"/>
    </row>
    <row r="395" spans="10:12" x14ac:dyDescent="0.2">
      <c r="J395" s="28"/>
      <c r="K395" s="29"/>
      <c r="L395" s="30"/>
    </row>
    <row r="396" spans="10:12" x14ac:dyDescent="0.2">
      <c r="J396" s="28"/>
      <c r="K396" s="29"/>
      <c r="L396" s="30"/>
    </row>
    <row r="397" spans="10:12" x14ac:dyDescent="0.2">
      <c r="J397" s="28"/>
      <c r="K397" s="29"/>
      <c r="L397" s="30"/>
    </row>
    <row r="398" spans="10:12" x14ac:dyDescent="0.2">
      <c r="J398" s="28"/>
      <c r="K398" s="29"/>
      <c r="L398" s="30"/>
    </row>
    <row r="399" spans="10:12" x14ac:dyDescent="0.2">
      <c r="J399" s="28"/>
      <c r="K399" s="29"/>
      <c r="L399" s="30"/>
    </row>
    <row r="400" spans="10:12" x14ac:dyDescent="0.2">
      <c r="J400" s="28"/>
      <c r="K400" s="29"/>
      <c r="L400" s="30"/>
    </row>
    <row r="401" spans="1:13" x14ac:dyDescent="0.2">
      <c r="J401" s="28"/>
      <c r="K401" s="29"/>
      <c r="L401" s="30"/>
    </row>
    <row r="402" spans="1:13" x14ac:dyDescent="0.2">
      <c r="J402" s="28"/>
      <c r="K402" s="29"/>
      <c r="L402" s="30"/>
    </row>
    <row r="403" spans="1:13" x14ac:dyDescent="0.2">
      <c r="J403" s="28"/>
      <c r="K403" s="29"/>
      <c r="L403" s="30"/>
      <c r="M403" s="141"/>
    </row>
    <row r="404" spans="1:13" s="95" customFormat="1" x14ac:dyDescent="0.2">
      <c r="A404" s="91"/>
      <c r="B404" s="91"/>
      <c r="C404" s="91"/>
      <c r="D404" s="108"/>
      <c r="E404" s="91"/>
      <c r="F404" s="91"/>
      <c r="G404" s="91"/>
      <c r="H404" s="91"/>
      <c r="I404" s="91"/>
      <c r="J404" s="28"/>
      <c r="K404" s="29"/>
      <c r="L404" s="30"/>
      <c r="M404" s="141"/>
    </row>
    <row r="405" spans="1:13" s="95" customFormat="1" x14ac:dyDescent="0.2">
      <c r="A405" s="91"/>
      <c r="B405" s="91"/>
      <c r="C405" s="91"/>
      <c r="D405" s="108"/>
      <c r="E405" s="91"/>
      <c r="F405" s="91"/>
      <c r="G405" s="91"/>
      <c r="H405" s="91"/>
      <c r="I405" s="91"/>
      <c r="J405" s="28"/>
      <c r="K405" s="29"/>
      <c r="L405" s="30"/>
      <c r="M405" s="141"/>
    </row>
    <row r="406" spans="1:13" s="95" customFormat="1" x14ac:dyDescent="0.2">
      <c r="A406" s="91"/>
      <c r="B406" s="91"/>
      <c r="C406" s="91"/>
      <c r="D406" s="108"/>
      <c r="E406" s="91"/>
      <c r="F406" s="91"/>
      <c r="G406" s="91"/>
      <c r="H406" s="91"/>
      <c r="I406" s="91"/>
      <c r="J406" s="28"/>
      <c r="K406" s="29"/>
      <c r="L406" s="30"/>
      <c r="M406" s="140"/>
    </row>
    <row r="407" spans="1:13" x14ac:dyDescent="0.2">
      <c r="J407" s="28"/>
      <c r="K407" s="29"/>
      <c r="L407" s="30"/>
    </row>
    <row r="408" spans="1:13" x14ac:dyDescent="0.2">
      <c r="J408" s="28"/>
      <c r="K408" s="29"/>
      <c r="L408" s="30"/>
    </row>
    <row r="409" spans="1:13" x14ac:dyDescent="0.2">
      <c r="J409" s="28"/>
      <c r="K409" s="29"/>
      <c r="L409" s="30"/>
    </row>
    <row r="410" spans="1:13" x14ac:dyDescent="0.2">
      <c r="J410" s="28"/>
      <c r="K410" s="29"/>
      <c r="L410" s="30"/>
    </row>
    <row r="411" spans="1:13" x14ac:dyDescent="0.2">
      <c r="J411" s="28"/>
      <c r="K411" s="29"/>
      <c r="L411" s="30"/>
    </row>
    <row r="412" spans="1:13" x14ac:dyDescent="0.2">
      <c r="J412" s="28"/>
      <c r="K412" s="29"/>
      <c r="L412" s="30"/>
    </row>
    <row r="413" spans="1:13" x14ac:dyDescent="0.2">
      <c r="J413" s="28"/>
      <c r="K413" s="29"/>
      <c r="L413" s="30"/>
    </row>
    <row r="414" spans="1:13" x14ac:dyDescent="0.2">
      <c r="J414" s="28"/>
      <c r="K414" s="29"/>
      <c r="L414" s="30"/>
    </row>
    <row r="415" spans="1:13" x14ac:dyDescent="0.2">
      <c r="J415" s="28"/>
      <c r="K415" s="29"/>
      <c r="L415" s="30"/>
    </row>
    <row r="416" spans="1:13" x14ac:dyDescent="0.2">
      <c r="J416" s="28"/>
      <c r="K416" s="29"/>
      <c r="L416" s="30"/>
    </row>
    <row r="417" spans="10:12" x14ac:dyDescent="0.2">
      <c r="J417" s="28"/>
      <c r="K417" s="29"/>
      <c r="L417" s="30"/>
    </row>
    <row r="418" spans="10:12" x14ac:dyDescent="0.2">
      <c r="J418" s="28"/>
      <c r="K418" s="29"/>
    </row>
    <row r="419" spans="10:12" x14ac:dyDescent="0.2">
      <c r="J419" s="28"/>
      <c r="K419" s="29"/>
      <c r="L419" s="30"/>
    </row>
    <row r="420" spans="10:12" x14ac:dyDescent="0.2">
      <c r="J420" s="28"/>
      <c r="K420" s="29"/>
      <c r="L420" s="30"/>
    </row>
  </sheetData>
  <mergeCells count="21">
    <mergeCell ref="A354:M354"/>
    <mergeCell ref="A360:I360"/>
    <mergeCell ref="A355:I355"/>
    <mergeCell ref="A356:B356"/>
    <mergeCell ref="C356:I356"/>
    <mergeCell ref="A357:B357"/>
    <mergeCell ref="C357:I357"/>
    <mergeCell ref="A359:I359"/>
    <mergeCell ref="A353:M353"/>
    <mergeCell ref="A1:D1"/>
    <mergeCell ref="A4:A5"/>
    <mergeCell ref="B4:B5"/>
    <mergeCell ref="C4:C5"/>
    <mergeCell ref="D4:D5"/>
    <mergeCell ref="A3:M3"/>
    <mergeCell ref="M4:M5"/>
    <mergeCell ref="J4:K4"/>
    <mergeCell ref="L4:L5"/>
    <mergeCell ref="A2:L2"/>
    <mergeCell ref="E4:E5"/>
    <mergeCell ref="F4:I4"/>
  </mergeCells>
  <printOptions horizontalCentered="1"/>
  <pageMargins left="0.51181102362204722" right="0.51181102362204722" top="0.78740157480314965" bottom="0.78740157480314965" header="0.31496062992125984" footer="0.31496062992125984"/>
  <pageSetup paperSize="9" scale="102" orientation="landscape" r:id="rId1"/>
  <colBreaks count="1" manualBreakCount="1">
    <brk id="5" max="1048575" man="1"/>
  </colBreaks>
  <drawing r:id="rId2"/>
  <legacyDrawing r:id="rId3"/>
  <oleObjects>
    <mc:AlternateContent xmlns:mc="http://schemas.openxmlformats.org/markup-compatibility/2006">
      <mc:Choice Requires="x14">
        <oleObject progId="CorelDraw.Graphic.17" shapeId="10241" r:id="rId4">
          <objectPr defaultSize="0" autoPict="0" r:id="rId5">
            <anchor moveWithCells="1" sizeWithCells="1">
              <from>
                <xdr:col>4</xdr:col>
                <xdr:colOff>257175</xdr:colOff>
                <xdr:row>0</xdr:row>
                <xdr:rowOff>19050</xdr:rowOff>
              </from>
              <to>
                <xdr:col>9</xdr:col>
                <xdr:colOff>0</xdr:colOff>
                <xdr:row>1</xdr:row>
                <xdr:rowOff>19050</xdr:rowOff>
              </to>
            </anchor>
          </objectPr>
        </oleObject>
      </mc:Choice>
      <mc:Fallback>
        <oleObject progId="CorelDraw.Graphic.17" shapeId="1024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361"/>
  <sheetViews>
    <sheetView tabSelected="1" topLeftCell="N348" zoomScale="80" zoomScaleNormal="80" zoomScaleSheetLayoutView="100" workbookViewId="0">
      <selection activeCell="X353" sqref="X353"/>
    </sheetView>
  </sheetViews>
  <sheetFormatPr defaultColWidth="8.85546875" defaultRowHeight="16.5" x14ac:dyDescent="0.3"/>
  <cols>
    <col min="1" max="1" width="8.42578125" style="36" customWidth="1"/>
    <col min="2" max="2" width="8.140625" style="17" customWidth="1"/>
    <col min="3" max="3" width="8.42578125" style="17" customWidth="1"/>
    <col min="4" max="4" width="56.28515625" style="17" customWidth="1"/>
    <col min="5" max="5" width="12" style="31" customWidth="1"/>
    <col min="6" max="6" width="7.140625" style="17" customWidth="1"/>
    <col min="7" max="7" width="13.28515625" style="114" customWidth="1"/>
    <col min="8" max="8" width="7.28515625" style="28" customWidth="1"/>
    <col min="9" max="9" width="13.5703125" style="115" customWidth="1"/>
    <col min="10" max="10" width="13.28515625" style="118" customWidth="1"/>
    <col min="11" max="11" width="10.28515625" style="28" customWidth="1"/>
    <col min="12" max="12" width="16.28515625" style="115" customWidth="1"/>
    <col min="13" max="13" width="22.7109375" style="15" customWidth="1"/>
    <col min="14" max="14" width="8.140625" style="3" customWidth="1"/>
    <col min="15" max="15" width="11.85546875" style="41" customWidth="1"/>
    <col min="16" max="16" width="12.42578125" style="114" customWidth="1"/>
    <col min="17" max="17" width="6.85546875" style="28" customWidth="1"/>
    <col min="18" max="18" width="16.5703125" style="115" customWidth="1"/>
    <col min="19" max="19" width="13" style="114" customWidth="1"/>
    <col min="20" max="20" width="7.7109375" style="28" customWidth="1"/>
    <col min="21" max="21" width="16" style="115" customWidth="1"/>
    <col min="22" max="22" width="11.7109375" style="18" customWidth="1"/>
    <col min="23" max="23" width="11.7109375" style="57" bestFit="1" customWidth="1"/>
    <col min="24" max="24" width="14.85546875" style="20" customWidth="1"/>
    <col min="25" max="25" width="17.28515625" style="36" customWidth="1"/>
    <col min="26" max="26" width="11.42578125" style="4" customWidth="1"/>
    <col min="27" max="27" width="14.28515625" style="4" customWidth="1"/>
    <col min="28" max="28" width="10.28515625" style="4" customWidth="1"/>
    <col min="29" max="29" width="12.140625" style="3" bestFit="1" customWidth="1"/>
    <col min="30" max="30" width="11.140625" style="3" customWidth="1"/>
    <col min="31" max="31" width="12.28515625" style="3" customWidth="1"/>
    <col min="32" max="35" width="8.85546875" style="3"/>
    <col min="36" max="36" width="9.28515625" style="3" bestFit="1" customWidth="1"/>
    <col min="37" max="37" width="11.42578125" style="3" bestFit="1" customWidth="1"/>
    <col min="38" max="16384" width="8.85546875" style="3"/>
  </cols>
  <sheetData>
    <row r="1" spans="1:36" ht="69.599999999999994" customHeight="1" x14ac:dyDescent="0.3"/>
    <row r="2" spans="1:36" ht="55.9" customHeight="1" x14ac:dyDescent="0.3">
      <c r="A2" s="172" t="s">
        <v>19</v>
      </c>
      <c r="B2" s="172"/>
      <c r="C2" s="172"/>
      <c r="D2" s="172"/>
      <c r="E2" s="172"/>
      <c r="F2" s="172"/>
      <c r="G2" s="172"/>
      <c r="H2" s="172"/>
      <c r="I2" s="172"/>
      <c r="J2" s="172"/>
      <c r="K2" s="172"/>
      <c r="L2" s="172"/>
      <c r="M2" s="172"/>
      <c r="N2" s="172"/>
      <c r="O2" s="172"/>
      <c r="P2" s="172"/>
      <c r="Q2" s="172"/>
      <c r="R2" s="172"/>
      <c r="S2" s="172"/>
      <c r="T2" s="172"/>
      <c r="U2" s="172"/>
      <c r="V2" s="172"/>
      <c r="W2" s="172"/>
      <c r="X2" s="172"/>
      <c r="Y2" s="172"/>
    </row>
    <row r="3" spans="1:36" ht="17.25" customHeight="1" x14ac:dyDescent="0.3">
      <c r="A3" s="171" t="str">
        <f>'APÊNDICE II-MEMÓRIA DE CÁLCULO'!A3:L3</f>
        <v>MATERIAL MEDICO HOSPITALAR</v>
      </c>
      <c r="B3" s="171"/>
      <c r="C3" s="171"/>
      <c r="D3" s="171"/>
      <c r="E3" s="171"/>
      <c r="F3" s="171"/>
      <c r="G3" s="171"/>
      <c r="H3" s="171"/>
      <c r="I3" s="171"/>
      <c r="J3" s="171"/>
      <c r="K3" s="171"/>
      <c r="L3" s="171"/>
      <c r="M3" s="171"/>
      <c r="N3" s="171"/>
      <c r="O3" s="171"/>
      <c r="P3" s="171"/>
      <c r="Q3" s="171"/>
      <c r="R3" s="171"/>
      <c r="S3" s="171"/>
      <c r="T3" s="171"/>
      <c r="U3" s="171"/>
      <c r="V3" s="171"/>
      <c r="W3" s="171"/>
      <c r="X3" s="171"/>
      <c r="Y3" s="171"/>
    </row>
    <row r="4" spans="1:36" s="15" customFormat="1" ht="66" x14ac:dyDescent="0.3">
      <c r="A4" s="119" t="s">
        <v>0</v>
      </c>
      <c r="B4" s="119" t="s">
        <v>16</v>
      </c>
      <c r="C4" s="119" t="s">
        <v>1</v>
      </c>
      <c r="D4" s="119" t="s">
        <v>18</v>
      </c>
      <c r="E4" s="119" t="s">
        <v>8</v>
      </c>
      <c r="F4" s="119" t="s">
        <v>3</v>
      </c>
      <c r="G4" s="63" t="s">
        <v>26</v>
      </c>
      <c r="H4" s="63" t="s">
        <v>6</v>
      </c>
      <c r="I4" s="73" t="s">
        <v>7</v>
      </c>
      <c r="J4" s="63" t="s">
        <v>404</v>
      </c>
      <c r="K4" s="63" t="s">
        <v>6</v>
      </c>
      <c r="L4" s="73" t="s">
        <v>7</v>
      </c>
      <c r="M4" s="63" t="s">
        <v>27</v>
      </c>
      <c r="N4" s="63" t="s">
        <v>6</v>
      </c>
      <c r="O4" s="73" t="s">
        <v>7</v>
      </c>
      <c r="P4" s="63" t="s">
        <v>28</v>
      </c>
      <c r="Q4" s="63" t="s">
        <v>6</v>
      </c>
      <c r="R4" s="73" t="s">
        <v>7</v>
      </c>
      <c r="S4" s="63" t="s">
        <v>29</v>
      </c>
      <c r="T4" s="63" t="s">
        <v>6</v>
      </c>
      <c r="U4" s="73" t="s">
        <v>7</v>
      </c>
      <c r="V4" s="136" t="s">
        <v>20</v>
      </c>
      <c r="W4" s="137" t="s">
        <v>30</v>
      </c>
      <c r="X4" s="138" t="s">
        <v>39</v>
      </c>
      <c r="Y4" s="119" t="s">
        <v>17</v>
      </c>
      <c r="Z4" s="71" t="s">
        <v>22</v>
      </c>
      <c r="AA4" s="72" t="s">
        <v>21</v>
      </c>
      <c r="AB4" s="72" t="s">
        <v>20</v>
      </c>
      <c r="AC4" s="72" t="s">
        <v>25</v>
      </c>
      <c r="AD4" s="72" t="s">
        <v>23</v>
      </c>
      <c r="AE4" s="72" t="s">
        <v>24</v>
      </c>
    </row>
    <row r="5" spans="1:36" ht="111" customHeight="1" x14ac:dyDescent="0.3">
      <c r="A5" s="26">
        <v>1</v>
      </c>
      <c r="B5" s="32">
        <f>'APÊNDICE II-MEMÓRIA DE CÁLCULO'!B6</f>
        <v>12234</v>
      </c>
      <c r="C5" s="33">
        <f>'APÊNDICE II-MEMÓRIA DE CÁLCULO'!C6</f>
        <v>281657</v>
      </c>
      <c r="D5" s="34" t="str">
        <f>'APÊNDICE II-MEMÓRIA DE CÁLCULO'!D6</f>
        <v>Ácidos graxos essenciais - componentes: óleo de girassol, linolêico, lecitina de soja, associados com vitaminas "A" E "E", composição: composto dos ácidos caprílico, cáprico, láurico, tipo: loção oleosa, apresentação: frasco com 100 ml, características adicionais: embalagem contendo externamente dados de identificação e procedência, lote, validade e registro em órgão competente.</v>
      </c>
      <c r="E5" s="33" t="str">
        <f>'APÊNDICE II-MEMÓRIA DE CÁLCULO'!E6</f>
        <v>FRASCO</v>
      </c>
      <c r="F5" s="35">
        <f>'APÊNDICE II-MEMÓRIA DE CÁLCULO'!L6</f>
        <v>2400</v>
      </c>
      <c r="G5" s="63" t="s">
        <v>809</v>
      </c>
      <c r="H5" s="64">
        <v>3</v>
      </c>
      <c r="I5" s="65">
        <v>11.96</v>
      </c>
      <c r="J5" s="73" t="s">
        <v>810</v>
      </c>
      <c r="K5" s="64">
        <v>4</v>
      </c>
      <c r="L5" s="65">
        <v>10.55</v>
      </c>
      <c r="M5" s="63" t="s">
        <v>560</v>
      </c>
      <c r="N5" s="64">
        <v>1</v>
      </c>
      <c r="O5" s="65">
        <v>5.0599999999999996</v>
      </c>
      <c r="P5" s="63" t="s">
        <v>331</v>
      </c>
      <c r="Q5" s="64">
        <v>1</v>
      </c>
      <c r="R5" s="65">
        <v>14.9</v>
      </c>
      <c r="S5" s="63" t="s">
        <v>332</v>
      </c>
      <c r="T5" s="64">
        <v>1</v>
      </c>
      <c r="U5" s="65">
        <v>18.850000000000001</v>
      </c>
      <c r="V5" s="37">
        <f>AB5</f>
        <v>4.5880653875026658</v>
      </c>
      <c r="W5" s="58">
        <f>AC5</f>
        <v>0.37410839754587943</v>
      </c>
      <c r="X5" s="23">
        <f>ROUND(SUM(I5*H5,L5*K5,O5*N5,R5*Q5,U5*T5,)/SUM(H5,K5,N5,Q5,T5,),2)</f>
        <v>11.69</v>
      </c>
      <c r="Y5" s="38">
        <f t="shared" ref="Y5:Y68" si="0">X5*F5</f>
        <v>28056</v>
      </c>
      <c r="Z5" s="6">
        <f>MEDIAN(L5,I5,O5,R5,U5,)</f>
        <v>11.255000000000001</v>
      </c>
      <c r="AA5" s="5">
        <f>AVERAGE(I5,O5,R5,U5,L5)</f>
        <v>12.264000000000001</v>
      </c>
      <c r="AB5" s="8">
        <f>_xlfn.STDEV.P(I5,O5,R5,U5,L5)</f>
        <v>4.5880653875026658</v>
      </c>
      <c r="AC5" s="7">
        <f>AB5/AA5</f>
        <v>0.37410839754587943</v>
      </c>
      <c r="AD5" s="5">
        <f t="shared" ref="AD5:AD61" si="1">AA5-AB5</f>
        <v>7.6759346124973353</v>
      </c>
      <c r="AE5" s="5">
        <f t="shared" ref="AE5:AE61" si="2">AA5+AB5</f>
        <v>16.852065387502666</v>
      </c>
      <c r="AF5" s="9"/>
      <c r="AG5" s="9"/>
      <c r="AI5" s="3" t="s">
        <v>40</v>
      </c>
      <c r="AJ5" s="3" t="s">
        <v>41</v>
      </c>
    </row>
    <row r="6" spans="1:36" ht="111" customHeight="1" x14ac:dyDescent="0.3">
      <c r="A6" s="26">
        <v>2</v>
      </c>
      <c r="B6" s="32">
        <f>'APÊNDICE II-MEMÓRIA DE CÁLCULO'!B7</f>
        <v>12572</v>
      </c>
      <c r="C6" s="33">
        <f>'APÊNDICE II-MEMÓRIA DE CÁLCULO'!C7</f>
        <v>301728</v>
      </c>
      <c r="D6" s="34" t="str">
        <f>'APÊNDICE II-MEMÓRIA DE CÁLCULO'!D7</f>
        <v xml:space="preserve">Absorvente higiênico externo -  descartável, uso: feminino, adulto, pacote com no mínimo 08 unidades, com abas, fluxo: normal, cobertura: suave, formato anatômico, com canais laterais, absorção eficiente. Embalagem contendo externamente dados de identificação e procedência, data de fabricação, lote e registro em órgão competente. </v>
      </c>
      <c r="E6" s="33" t="str">
        <f>'APÊNDICE II-MEMÓRIA DE CÁLCULO'!E7</f>
        <v>PACOTE</v>
      </c>
      <c r="F6" s="35">
        <f>'APÊNDICE II-MEMÓRIA DE CÁLCULO'!M7</f>
        <v>8000</v>
      </c>
      <c r="G6" s="63" t="s">
        <v>809</v>
      </c>
      <c r="H6" s="64">
        <v>4</v>
      </c>
      <c r="I6" s="67">
        <v>6.98</v>
      </c>
      <c r="J6" s="73" t="s">
        <v>810</v>
      </c>
      <c r="K6" s="66">
        <v>2</v>
      </c>
      <c r="L6" s="67">
        <v>8.75</v>
      </c>
      <c r="M6" s="63" t="s">
        <v>542</v>
      </c>
      <c r="N6" s="66">
        <v>1</v>
      </c>
      <c r="O6" s="67">
        <v>2.96</v>
      </c>
      <c r="P6" s="68" t="s">
        <v>333</v>
      </c>
      <c r="Q6" s="66">
        <v>1</v>
      </c>
      <c r="R6" s="67">
        <v>7.19</v>
      </c>
      <c r="S6" s="68" t="s">
        <v>334</v>
      </c>
      <c r="T6" s="66">
        <v>1</v>
      </c>
      <c r="U6" s="67">
        <v>8.15</v>
      </c>
      <c r="V6" s="37">
        <f t="shared" ref="V6:V69" si="3">AB6</f>
        <v>2.0275561644502003</v>
      </c>
      <c r="W6" s="58">
        <f t="shared" ref="W6:W69" si="4">AC6</f>
        <v>0.29790716492068764</v>
      </c>
      <c r="X6" s="23">
        <f>ROUND(SUM(I6*H6,L6*K6,O6*N6,R6*Q6,U6*T6,)/SUM(H6,K6,N6,Q6,T6,),2)</f>
        <v>7.08</v>
      </c>
      <c r="Y6" s="38">
        <f t="shared" si="0"/>
        <v>56640</v>
      </c>
      <c r="Z6" s="6">
        <f t="shared" ref="Z6:Z69" si="5">MEDIAN(L6,I6,O6,R6,U6,)</f>
        <v>7.0850000000000009</v>
      </c>
      <c r="AA6" s="5">
        <f t="shared" ref="AA6:AA69" si="6">AVERAGE(I6,O6,R6,U6,L6)</f>
        <v>6.806</v>
      </c>
      <c r="AB6" s="8">
        <f t="shared" ref="AB6:AB69" si="7">_xlfn.STDEV.P(I6,O6,R6,U6,L6)</f>
        <v>2.0275561644502003</v>
      </c>
      <c r="AC6" s="7">
        <f t="shared" ref="AC6:AC69" si="8">AB6/AA6</f>
        <v>0.29790716492068764</v>
      </c>
      <c r="AD6" s="5">
        <f t="shared" si="1"/>
        <v>4.7784438355497993</v>
      </c>
      <c r="AE6" s="5">
        <f t="shared" si="2"/>
        <v>8.8335561644502008</v>
      </c>
    </row>
    <row r="7" spans="1:36" ht="111" customHeight="1" x14ac:dyDescent="0.3">
      <c r="A7" s="26">
        <v>3</v>
      </c>
      <c r="B7" s="32">
        <f>'APÊNDICE II-MEMÓRIA DE CÁLCULO'!B8</f>
        <v>12235</v>
      </c>
      <c r="C7" s="33">
        <f>'APÊNDICE II-MEMÓRIA DE CÁLCULO'!C8</f>
        <v>358051</v>
      </c>
      <c r="D7" s="34" t="str">
        <f>'APÊNDICE II-MEMÓRIA DE CÁLCULO'!D8</f>
        <v xml:space="preserve">Absorvente higiênico externo - tipo: hospitalar, características: com capacidade para grandes fluxos, com boa capacidade absorvente, cobertura interna de falso tecido película anti humidade polpa de flocos absorventes e cobertura externa impermeável, características adicionais: pacote com 20 unidades, embalagem contendo externamente dados de identificação e procedência, data de fabricação, lote e registro em órgão competente. </v>
      </c>
      <c r="E7" s="33" t="str">
        <f>'APÊNDICE II-MEMÓRIA DE CÁLCULO'!E8</f>
        <v>PACOTE</v>
      </c>
      <c r="F7" s="35">
        <f>'APÊNDICE II-MEMÓRIA DE CÁLCULO'!L8</f>
        <v>1600</v>
      </c>
      <c r="G7" s="63" t="s">
        <v>809</v>
      </c>
      <c r="H7" s="64">
        <v>4</v>
      </c>
      <c r="I7" s="65">
        <v>17.7</v>
      </c>
      <c r="J7" s="73" t="s">
        <v>810</v>
      </c>
      <c r="K7" s="64">
        <v>1</v>
      </c>
      <c r="L7" s="65">
        <v>14.9</v>
      </c>
      <c r="M7" s="63" t="s">
        <v>678</v>
      </c>
      <c r="N7" s="66">
        <v>1</v>
      </c>
      <c r="O7" s="67">
        <v>8</v>
      </c>
      <c r="P7" s="68" t="s">
        <v>335</v>
      </c>
      <c r="Q7" s="66">
        <v>1</v>
      </c>
      <c r="R7" s="67">
        <v>18</v>
      </c>
      <c r="S7" s="68" t="s">
        <v>336</v>
      </c>
      <c r="T7" s="66">
        <v>1</v>
      </c>
      <c r="U7" s="67">
        <v>20.97</v>
      </c>
      <c r="V7" s="37">
        <f t="shared" si="3"/>
        <v>4.3991799235766607</v>
      </c>
      <c r="W7" s="58">
        <f t="shared" si="4"/>
        <v>0.2764345810969373</v>
      </c>
      <c r="X7" s="23">
        <f>ROUND(SUM(I7*H7,L7*K7,O7*N7,R7*Q7,U7*T7,)/SUM(H7,K7,N7,Q7,T7,),2)</f>
        <v>16.579999999999998</v>
      </c>
      <c r="Y7" s="38">
        <f t="shared" si="0"/>
        <v>26527.999999999996</v>
      </c>
      <c r="Z7" s="6">
        <f t="shared" si="5"/>
        <v>16.3</v>
      </c>
      <c r="AA7" s="5">
        <f t="shared" si="6"/>
        <v>15.914000000000001</v>
      </c>
      <c r="AB7" s="8">
        <f t="shared" si="7"/>
        <v>4.3991799235766607</v>
      </c>
      <c r="AC7" s="7">
        <f t="shared" si="8"/>
        <v>0.2764345810969373</v>
      </c>
      <c r="AD7" s="5">
        <f t="shared" si="1"/>
        <v>11.514820076423341</v>
      </c>
      <c r="AE7" s="5">
        <f t="shared" si="2"/>
        <v>20.313179923576662</v>
      </c>
    </row>
    <row r="8" spans="1:36" ht="111" customHeight="1" x14ac:dyDescent="0.3">
      <c r="A8" s="26">
        <v>4</v>
      </c>
      <c r="B8" s="32">
        <f>'APÊNDICE II-MEMÓRIA DE CÁLCULO'!B9</f>
        <v>12236</v>
      </c>
      <c r="C8" s="33">
        <f>'APÊNDICE II-MEMÓRIA DE CÁLCULO'!C9</f>
        <v>445470</v>
      </c>
      <c r="D8" s="34" t="str">
        <f>'APÊNDICE II-MEMÓRIA DE CÁLCULO'!D9</f>
        <v>Ácido paracético - concentração: PH 5 à 8,5  capacidade: 5 litros, forma física: solução aquosa, características adicionais: desinfetante esterilizante ácido paracético, baixa toxicidade e não corrosino para metais ferroso e não ferroso, com registro ANVISA.</v>
      </c>
      <c r="E8" s="33" t="str">
        <f>'APÊNDICE II-MEMÓRIA DE CÁLCULO'!E9</f>
        <v>FRASCO</v>
      </c>
      <c r="F8" s="35">
        <f>'APÊNDICE II-MEMÓRIA DE CÁLCULO'!L9</f>
        <v>52</v>
      </c>
      <c r="G8" s="63" t="s">
        <v>809</v>
      </c>
      <c r="H8" s="64">
        <v>1</v>
      </c>
      <c r="I8" s="65">
        <v>203.93</v>
      </c>
      <c r="J8" s="73" t="s">
        <v>810</v>
      </c>
      <c r="K8" s="64">
        <v>1</v>
      </c>
      <c r="L8" s="65">
        <v>203.93</v>
      </c>
      <c r="M8" s="63" t="s">
        <v>419</v>
      </c>
      <c r="N8" s="66">
        <v>1</v>
      </c>
      <c r="O8" s="67">
        <v>180.81</v>
      </c>
      <c r="P8" s="68" t="s">
        <v>337</v>
      </c>
      <c r="Q8" s="66">
        <v>1</v>
      </c>
      <c r="R8" s="67">
        <v>235.9</v>
      </c>
      <c r="S8" s="68" t="s">
        <v>338</v>
      </c>
      <c r="T8" s="66">
        <v>1</v>
      </c>
      <c r="U8" s="67">
        <v>266</v>
      </c>
      <c r="V8" s="37">
        <f t="shared" si="3"/>
        <v>29.676155141797054</v>
      </c>
      <c r="W8" s="58">
        <f t="shared" si="4"/>
        <v>0.13605800242899152</v>
      </c>
      <c r="X8" s="23">
        <f>ROUND(SUM(I8*H8,L8*K8,O8*N8,R8*Q8,U8*T8,)/SUM(H8,K8,N8,Q8,T8,),2)</f>
        <v>218.11</v>
      </c>
      <c r="Y8" s="38">
        <f t="shared" si="0"/>
        <v>11341.720000000001</v>
      </c>
      <c r="Z8" s="6">
        <f t="shared" si="5"/>
        <v>203.93</v>
      </c>
      <c r="AA8" s="5">
        <f t="shared" si="6"/>
        <v>218.11399999999998</v>
      </c>
      <c r="AB8" s="8">
        <f t="shared" si="7"/>
        <v>29.676155141797054</v>
      </c>
      <c r="AC8" s="7">
        <f t="shared" si="8"/>
        <v>0.13605800242899152</v>
      </c>
      <c r="AD8" s="5">
        <f t="shared" si="1"/>
        <v>188.43784485820294</v>
      </c>
      <c r="AE8" s="5">
        <f t="shared" si="2"/>
        <v>247.79015514179702</v>
      </c>
    </row>
    <row r="9" spans="1:36" ht="111" customHeight="1" x14ac:dyDescent="0.3">
      <c r="A9" s="26">
        <v>5</v>
      </c>
      <c r="B9" s="32">
        <f>'APÊNDICE II-MEMÓRIA DE CÁLCULO'!B10</f>
        <v>12237</v>
      </c>
      <c r="C9" s="33">
        <f>'APÊNDICE II-MEMÓRIA DE CÁLCULO'!C10</f>
        <v>277319</v>
      </c>
      <c r="D9" s="34" t="str">
        <f>'APÊNDICE II-MEMÓRIA DE CÁLCULO'!D10</f>
        <v>Peróxido de hidrogênio, (água oxigenada), tipo: 10 volumes, capacidade: frasco com 1 litro, uso: hospitalar, características adicionais: embalagem fosca, com dados de identificação e procedência, data de fabricação, tempo de validade e registro em órgão competente.</v>
      </c>
      <c r="E9" s="33" t="str">
        <f>'APÊNDICE II-MEMÓRIA DE CÁLCULO'!E10</f>
        <v>FRASCO</v>
      </c>
      <c r="F9" s="35">
        <f>'APÊNDICE II-MEMÓRIA DE CÁLCULO'!L10</f>
        <v>108</v>
      </c>
      <c r="G9" s="63" t="s">
        <v>809</v>
      </c>
      <c r="H9" s="64">
        <v>1</v>
      </c>
      <c r="I9" s="67">
        <v>9.9</v>
      </c>
      <c r="J9" s="73" t="s">
        <v>810</v>
      </c>
      <c r="K9" s="66">
        <v>2</v>
      </c>
      <c r="L9" s="67">
        <v>9.25</v>
      </c>
      <c r="M9" s="24" t="s">
        <v>31</v>
      </c>
      <c r="N9" s="55" t="s">
        <v>31</v>
      </c>
      <c r="O9" s="37" t="s">
        <v>31</v>
      </c>
      <c r="P9" s="68" t="s">
        <v>339</v>
      </c>
      <c r="Q9" s="66">
        <v>1</v>
      </c>
      <c r="R9" s="67">
        <v>9.6</v>
      </c>
      <c r="S9" s="68" t="s">
        <v>340</v>
      </c>
      <c r="T9" s="66">
        <v>1</v>
      </c>
      <c r="U9" s="67">
        <v>10.92</v>
      </c>
      <c r="V9" s="37">
        <f t="shared" si="3"/>
        <v>0.62283123717424449</v>
      </c>
      <c r="W9" s="58">
        <f t="shared" si="4"/>
        <v>6.2801233897075315E-2</v>
      </c>
      <c r="X9" s="23">
        <f>ROUND(SUM(I9*H9,L9*K9,R9*Q9,U9*T9,)/SUM(H9,K9,Q9,T9,),2)</f>
        <v>9.7799999999999994</v>
      </c>
      <c r="Y9" s="38">
        <f t="shared" si="0"/>
        <v>1056.24</v>
      </c>
      <c r="Z9" s="6">
        <f t="shared" si="5"/>
        <v>9.6</v>
      </c>
      <c r="AA9" s="5">
        <f t="shared" si="6"/>
        <v>9.9175000000000004</v>
      </c>
      <c r="AB9" s="8">
        <f t="shared" si="7"/>
        <v>0.62283123717424449</v>
      </c>
      <c r="AC9" s="7">
        <f t="shared" si="8"/>
        <v>6.2801233897075315E-2</v>
      </c>
      <c r="AD9" s="5">
        <f t="shared" si="1"/>
        <v>9.294668762825756</v>
      </c>
      <c r="AE9" s="5">
        <f t="shared" si="2"/>
        <v>10.540331237174245</v>
      </c>
    </row>
    <row r="10" spans="1:36" ht="111" customHeight="1" x14ac:dyDescent="0.3">
      <c r="A10" s="26">
        <v>6</v>
      </c>
      <c r="B10" s="32">
        <f>'APÊNDICE II-MEMÓRIA DE CÁLCULO'!B11</f>
        <v>12238</v>
      </c>
      <c r="C10" s="33">
        <f>'APÊNDICE II-MEMÓRIA DE CÁLCULO'!C11</f>
        <v>269941</v>
      </c>
      <c r="D10" s="34" t="str">
        <f>'APÊNDICE II-MEMÓRIA DE CÁLCULO'!D11</f>
        <v>Álcool etílico - teor alcoólico: 70% (70°) apresentação: líquido, tipo: hidratado, capacidade: frasco com 1 litro, características adicionais: embalagem com dados de identificação e procedência, data de fabricação, tempo de validade e registro em órgão competente.</v>
      </c>
      <c r="E10" s="33" t="str">
        <f>'APÊNDICE II-MEMÓRIA DE CÁLCULO'!E11</f>
        <v>FRASCO</v>
      </c>
      <c r="F10" s="35">
        <f>'APÊNDICE II-MEMÓRIA DE CÁLCULO'!L11</f>
        <v>2820</v>
      </c>
      <c r="G10" s="63" t="s">
        <v>809</v>
      </c>
      <c r="H10" s="64">
        <v>6</v>
      </c>
      <c r="I10" s="65">
        <v>7.38</v>
      </c>
      <c r="J10" s="73" t="s">
        <v>810</v>
      </c>
      <c r="K10" s="64">
        <v>5</v>
      </c>
      <c r="L10" s="65">
        <v>9.07</v>
      </c>
      <c r="M10" s="63" t="s">
        <v>561</v>
      </c>
      <c r="N10" s="66">
        <v>1</v>
      </c>
      <c r="O10" s="67">
        <v>6.21</v>
      </c>
      <c r="P10" s="68" t="s">
        <v>341</v>
      </c>
      <c r="Q10" s="66">
        <v>1</v>
      </c>
      <c r="R10" s="67">
        <v>10.37</v>
      </c>
      <c r="S10" s="68" t="s">
        <v>771</v>
      </c>
      <c r="T10" s="66">
        <v>1</v>
      </c>
      <c r="U10" s="67">
        <v>9.9</v>
      </c>
      <c r="V10" s="37">
        <f t="shared" si="3"/>
        <v>1.5648207565085555</v>
      </c>
      <c r="W10" s="58">
        <f t="shared" si="4"/>
        <v>0.18225259218594869</v>
      </c>
      <c r="X10" s="23">
        <f>ROUND(SUM(I10*H10,L10*K10,O10*N10,R10*Q10,U10*T10,)/SUM(H10,K10,N10,Q10,T10,),2)</f>
        <v>8.2899999999999991</v>
      </c>
      <c r="Y10" s="38">
        <f t="shared" si="0"/>
        <v>23377.8</v>
      </c>
      <c r="Z10" s="6">
        <f t="shared" si="5"/>
        <v>8.2249999999999996</v>
      </c>
      <c r="AA10" s="5">
        <f t="shared" si="6"/>
        <v>8.5860000000000003</v>
      </c>
      <c r="AB10" s="8">
        <f t="shared" si="7"/>
        <v>1.5648207565085555</v>
      </c>
      <c r="AC10" s="7">
        <f t="shared" si="8"/>
        <v>0.18225259218594869</v>
      </c>
      <c r="AD10" s="5">
        <f t="shared" si="1"/>
        <v>7.0211792434914448</v>
      </c>
      <c r="AE10" s="5">
        <f t="shared" si="2"/>
        <v>10.150820756508555</v>
      </c>
    </row>
    <row r="11" spans="1:36" ht="152.25" customHeight="1" x14ac:dyDescent="0.3">
      <c r="A11" s="26">
        <v>7</v>
      </c>
      <c r="B11" s="32">
        <f>'APÊNDICE II-MEMÓRIA DE CÁLCULO'!B12</f>
        <v>12240</v>
      </c>
      <c r="C11" s="33" t="str">
        <f>'APÊNDICE II-MEMÓRIA DE CÁLCULO'!C12</f>
        <v>-</v>
      </c>
      <c r="D11" s="34" t="str">
        <f>'APÊNDICE II-MEMÓRIA DE CÁLCULO'!D12</f>
        <v>Agulha hipodérmica - uso: descartável, dimensão: 13x4,5mm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1" s="33" t="str">
        <f>'APÊNDICE II-MEMÓRIA DE CÁLCULO'!E12</f>
        <v>UNIDADE</v>
      </c>
      <c r="F11" s="35">
        <f>'APÊNDICE II-MEMÓRIA DE CÁLCULO'!L12</f>
        <v>3600</v>
      </c>
      <c r="G11" s="25" t="s">
        <v>31</v>
      </c>
      <c r="H11" s="54" t="s">
        <v>31</v>
      </c>
      <c r="I11" s="37" t="s">
        <v>31</v>
      </c>
      <c r="J11" s="56" t="s">
        <v>31</v>
      </c>
      <c r="K11" s="55" t="s">
        <v>31</v>
      </c>
      <c r="L11" s="37" t="s">
        <v>31</v>
      </c>
      <c r="M11" s="63" t="s">
        <v>409</v>
      </c>
      <c r="N11" s="66">
        <v>1</v>
      </c>
      <c r="O11" s="67">
        <v>0.09</v>
      </c>
      <c r="P11" s="68" t="s">
        <v>342</v>
      </c>
      <c r="Q11" s="66">
        <v>1</v>
      </c>
      <c r="R11" s="67">
        <v>7.0000000000000007E-2</v>
      </c>
      <c r="S11" s="68" t="s">
        <v>343</v>
      </c>
      <c r="T11" s="66">
        <v>1</v>
      </c>
      <c r="U11" s="67">
        <v>0.13</v>
      </c>
      <c r="V11" s="37">
        <f t="shared" si="3"/>
        <v>2.4944382578492897E-2</v>
      </c>
      <c r="W11" s="58">
        <f t="shared" si="4"/>
        <v>0.25804533701889198</v>
      </c>
      <c r="X11" s="23">
        <f>ROUND(SUM(O11*N11,R11*Q11,U11*T11,)/SUM(N11,Q11,T11,),2)</f>
        <v>0.1</v>
      </c>
      <c r="Y11" s="38">
        <f t="shared" si="0"/>
        <v>360</v>
      </c>
      <c r="Z11" s="6">
        <f t="shared" si="5"/>
        <v>0.08</v>
      </c>
      <c r="AA11" s="5">
        <f t="shared" si="6"/>
        <v>9.6666666666666679E-2</v>
      </c>
      <c r="AB11" s="8">
        <f t="shared" si="7"/>
        <v>2.4944382578492897E-2</v>
      </c>
      <c r="AC11" s="7">
        <f t="shared" si="8"/>
        <v>0.25804533701889198</v>
      </c>
      <c r="AD11" s="5">
        <f t="shared" si="1"/>
        <v>7.1722284088173785E-2</v>
      </c>
      <c r="AE11" s="5">
        <f t="shared" si="2"/>
        <v>0.12161104924515957</v>
      </c>
    </row>
    <row r="12" spans="1:36" ht="152.25" customHeight="1" x14ac:dyDescent="0.3">
      <c r="A12" s="26">
        <v>8</v>
      </c>
      <c r="B12" s="32">
        <f>'APÊNDICE II-MEMÓRIA DE CÁLCULO'!B13</f>
        <v>12241</v>
      </c>
      <c r="C12" s="33" t="str">
        <f>'APÊNDICE II-MEMÓRIA DE CÁLCULO'!C13</f>
        <v>-</v>
      </c>
      <c r="D12" s="34" t="str">
        <f>'APÊNDICE II-MEMÓRIA DE CÁLCULO'!D13</f>
        <v>Agulha hipodérmica - uso: descartável, dimensão: 25x7mm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2" s="33" t="str">
        <f>'APÊNDICE II-MEMÓRIA DE CÁLCULO'!E13</f>
        <v>UNIDADE</v>
      </c>
      <c r="F12" s="35">
        <f>'APÊNDICE II-MEMÓRIA DE CÁLCULO'!L13</f>
        <v>70000</v>
      </c>
      <c r="G12" s="63" t="s">
        <v>809</v>
      </c>
      <c r="H12" s="64">
        <v>1</v>
      </c>
      <c r="I12" s="67">
        <v>7.0000000000000007E-2</v>
      </c>
      <c r="J12" s="56" t="s">
        <v>31</v>
      </c>
      <c r="K12" s="55" t="s">
        <v>31</v>
      </c>
      <c r="L12" s="37" t="s">
        <v>31</v>
      </c>
      <c r="M12" s="63" t="s">
        <v>564</v>
      </c>
      <c r="N12" s="66">
        <v>1</v>
      </c>
      <c r="O12" s="67">
        <v>0.09</v>
      </c>
      <c r="P12" s="68" t="s">
        <v>344</v>
      </c>
      <c r="Q12" s="66">
        <v>1</v>
      </c>
      <c r="R12" s="67">
        <v>7.0000000000000007E-2</v>
      </c>
      <c r="S12" s="68" t="s">
        <v>345</v>
      </c>
      <c r="T12" s="66">
        <v>1</v>
      </c>
      <c r="U12" s="67">
        <v>0.08</v>
      </c>
      <c r="V12" s="37">
        <f t="shared" si="3"/>
        <v>8.2915619758884944E-3</v>
      </c>
      <c r="W12" s="58">
        <f t="shared" si="4"/>
        <v>0.10698789646307735</v>
      </c>
      <c r="X12" s="23">
        <f>ROUND(SUM(I12*H12,O12*N12,R12*Q12,U12*T12,)/SUM(H12,N12,Q12,T12,),2)</f>
        <v>0.08</v>
      </c>
      <c r="Y12" s="38">
        <f t="shared" si="0"/>
        <v>5600</v>
      </c>
      <c r="Z12" s="6">
        <f t="shared" si="5"/>
        <v>7.0000000000000007E-2</v>
      </c>
      <c r="AA12" s="5">
        <f t="shared" si="6"/>
        <v>7.7499999999999999E-2</v>
      </c>
      <c r="AB12" s="8">
        <f t="shared" si="7"/>
        <v>8.2915619758884944E-3</v>
      </c>
      <c r="AC12" s="7">
        <f t="shared" si="8"/>
        <v>0.10698789646307735</v>
      </c>
      <c r="AD12" s="5">
        <f t="shared" si="1"/>
        <v>6.9208438024111502E-2</v>
      </c>
      <c r="AE12" s="5">
        <f t="shared" si="2"/>
        <v>8.5791561975888497E-2</v>
      </c>
    </row>
    <row r="13" spans="1:36" ht="152.25" customHeight="1" x14ac:dyDescent="0.3">
      <c r="A13" s="26">
        <v>9</v>
      </c>
      <c r="B13" s="32">
        <f>'APÊNDICE II-MEMÓRIA DE CÁLCULO'!B14</f>
        <v>12242</v>
      </c>
      <c r="C13" s="33">
        <f>'APÊNDICE II-MEMÓRIA DE CÁLCULO'!C14</f>
        <v>397511</v>
      </c>
      <c r="D13" s="34" t="str">
        <f>'APÊNDICE II-MEMÓRIA DE CÁLCULO'!D14</f>
        <v>Agulha hipodérmica - uso: descartável, dimensão: 25x8mm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3" s="33" t="str">
        <f>'APÊNDICE II-MEMÓRIA DE CÁLCULO'!E14</f>
        <v>UNIDADE</v>
      </c>
      <c r="F13" s="35">
        <f>'APÊNDICE II-MEMÓRIA DE CÁLCULO'!L14</f>
        <v>53800</v>
      </c>
      <c r="G13" s="63" t="s">
        <v>809</v>
      </c>
      <c r="H13" s="64">
        <v>14</v>
      </c>
      <c r="I13" s="67">
        <f>7.55/100</f>
        <v>7.5499999999999998E-2</v>
      </c>
      <c r="J13" s="73" t="s">
        <v>810</v>
      </c>
      <c r="K13" s="66">
        <v>1</v>
      </c>
      <c r="L13" s="67">
        <v>0.1</v>
      </c>
      <c r="M13" s="63" t="s">
        <v>410</v>
      </c>
      <c r="N13" s="66">
        <v>1</v>
      </c>
      <c r="O13" s="67">
        <v>0.12</v>
      </c>
      <c r="P13" s="68" t="s">
        <v>346</v>
      </c>
      <c r="Q13" s="66">
        <v>1</v>
      </c>
      <c r="R13" s="67">
        <v>0.08</v>
      </c>
      <c r="S13" s="68" t="s">
        <v>347</v>
      </c>
      <c r="T13" s="66">
        <v>1</v>
      </c>
      <c r="U13" s="67">
        <v>0.09</v>
      </c>
      <c r="V13" s="37">
        <f t="shared" si="3"/>
        <v>1.5888360519575307E-2</v>
      </c>
      <c r="W13" s="58">
        <f t="shared" si="4"/>
        <v>0.17065908184291415</v>
      </c>
      <c r="X13" s="23">
        <f>ROUND(SUM(I13*H13,L13*K13,O13*N13,R13*Q13,U13*T13,)/SUM(H13,K13,N13,Q13,T13,),2)</f>
        <v>0.08</v>
      </c>
      <c r="Y13" s="38">
        <f t="shared" si="0"/>
        <v>4304</v>
      </c>
      <c r="Z13" s="6">
        <f t="shared" si="5"/>
        <v>8.4999999999999992E-2</v>
      </c>
      <c r="AA13" s="5">
        <f t="shared" si="6"/>
        <v>9.3100000000000002E-2</v>
      </c>
      <c r="AB13" s="8">
        <f t="shared" si="7"/>
        <v>1.5888360519575307E-2</v>
      </c>
      <c r="AC13" s="7">
        <f t="shared" si="8"/>
        <v>0.17065908184291415</v>
      </c>
      <c r="AD13" s="5">
        <f t="shared" si="1"/>
        <v>7.7211639480424699E-2</v>
      </c>
      <c r="AE13" s="5">
        <f t="shared" si="2"/>
        <v>0.10898836051957531</v>
      </c>
    </row>
    <row r="14" spans="1:36" ht="152.25" customHeight="1" x14ac:dyDescent="0.3">
      <c r="A14" s="26">
        <v>10</v>
      </c>
      <c r="B14" s="32">
        <f>'APÊNDICE II-MEMÓRIA DE CÁLCULO'!B15</f>
        <v>12243</v>
      </c>
      <c r="C14" s="33">
        <f>'APÊNDICE II-MEMÓRIA DE CÁLCULO'!C15</f>
        <v>439811</v>
      </c>
      <c r="D14" s="34" t="str">
        <f>'APÊNDICE II-MEMÓRIA DE CÁLCULO'!D15</f>
        <v>Agulha hipodérmica - uso: descartável, dimensão: 0,55x20mm, 24G 3/4 -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4" s="33" t="str">
        <f>'APÊNDICE II-MEMÓRIA DE CÁLCULO'!E15</f>
        <v>UNIDADE</v>
      </c>
      <c r="F14" s="35">
        <f>'APÊNDICE II-MEMÓRIA DE CÁLCULO'!L15</f>
        <v>1500</v>
      </c>
      <c r="G14" s="63" t="s">
        <v>809</v>
      </c>
      <c r="H14" s="64">
        <v>23</v>
      </c>
      <c r="I14" s="67">
        <f>7/100</f>
        <v>7.0000000000000007E-2</v>
      </c>
      <c r="J14" s="73" t="s">
        <v>810</v>
      </c>
      <c r="K14" s="66">
        <v>4</v>
      </c>
      <c r="L14" s="67">
        <v>0.1</v>
      </c>
      <c r="M14" s="40" t="s">
        <v>31</v>
      </c>
      <c r="N14" s="55" t="s">
        <v>31</v>
      </c>
      <c r="O14" s="37" t="s">
        <v>31</v>
      </c>
      <c r="P14" s="68" t="s">
        <v>746</v>
      </c>
      <c r="Q14" s="66">
        <v>1</v>
      </c>
      <c r="R14" s="67">
        <f>12.6/100</f>
        <v>0.126</v>
      </c>
      <c r="S14" s="68" t="s">
        <v>811</v>
      </c>
      <c r="T14" s="66">
        <v>1</v>
      </c>
      <c r="U14" s="67">
        <f>10.99/100</f>
        <v>0.1099</v>
      </c>
      <c r="V14" s="37">
        <f t="shared" si="3"/>
        <v>2.0404089663594388E-2</v>
      </c>
      <c r="W14" s="58">
        <f t="shared" si="4"/>
        <v>0.20107503979890995</v>
      </c>
      <c r="X14" s="23">
        <f>ROUND(SUM(I14*H14,L14*K14,R14*Q14,U14*T14,)/SUM(H14,K14,Q14,T14,),2)</f>
        <v>0.08</v>
      </c>
      <c r="Y14" s="38">
        <f t="shared" si="0"/>
        <v>120</v>
      </c>
      <c r="Z14" s="6">
        <f t="shared" si="5"/>
        <v>0.1</v>
      </c>
      <c r="AA14" s="5">
        <f t="shared" si="6"/>
        <v>0.10147500000000001</v>
      </c>
      <c r="AB14" s="8">
        <f t="shared" si="7"/>
        <v>2.0404089663594388E-2</v>
      </c>
      <c r="AC14" s="7">
        <f t="shared" si="8"/>
        <v>0.20107503979890995</v>
      </c>
      <c r="AD14" s="5">
        <f t="shared" si="1"/>
        <v>8.1070910336405622E-2</v>
      </c>
      <c r="AE14" s="5">
        <f t="shared" si="2"/>
        <v>0.1218790896635944</v>
      </c>
    </row>
    <row r="15" spans="1:36" ht="152.25" customHeight="1" x14ac:dyDescent="0.3">
      <c r="A15" s="26">
        <v>11</v>
      </c>
      <c r="B15" s="32">
        <f>'APÊNDICE II-MEMÓRIA DE CÁLCULO'!B16</f>
        <v>12244</v>
      </c>
      <c r="C15" s="33">
        <f>'APÊNDICE II-MEMÓRIA DE CÁLCULO'!C16</f>
        <v>439810</v>
      </c>
      <c r="D15" s="34" t="str">
        <f>'APÊNDICE II-MEMÓRIA DE CÁLCULO'!D16</f>
        <v>Agulha hipodérmica - uso: descartável, dimensão: 0,60x25mm, 23G 1''-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5" s="33" t="str">
        <f>'APÊNDICE II-MEMÓRIA DE CÁLCULO'!E16</f>
        <v>UNIDADE</v>
      </c>
      <c r="F15" s="35">
        <f>'APÊNDICE II-MEMÓRIA DE CÁLCULO'!L16</f>
        <v>3300</v>
      </c>
      <c r="G15" s="25" t="s">
        <v>31</v>
      </c>
      <c r="H15" s="54" t="s">
        <v>31</v>
      </c>
      <c r="I15" s="37" t="s">
        <v>31</v>
      </c>
      <c r="J15" s="73" t="s">
        <v>810</v>
      </c>
      <c r="K15" s="66">
        <v>1</v>
      </c>
      <c r="L15" s="67">
        <v>0.22</v>
      </c>
      <c r="M15" s="63" t="s">
        <v>501</v>
      </c>
      <c r="N15" s="66">
        <v>1</v>
      </c>
      <c r="O15" s="67">
        <v>0.09</v>
      </c>
      <c r="P15" s="68" t="s">
        <v>746</v>
      </c>
      <c r="Q15" s="66">
        <v>1</v>
      </c>
      <c r="R15" s="67">
        <f>10.52/100</f>
        <v>0.1052</v>
      </c>
      <c r="S15" s="68" t="s">
        <v>365</v>
      </c>
      <c r="T15" s="66">
        <v>1</v>
      </c>
      <c r="U15" s="67">
        <f>9.99/100</f>
        <v>9.9900000000000003E-2</v>
      </c>
      <c r="V15" s="37">
        <f t="shared" si="3"/>
        <v>5.2950560667475478E-2</v>
      </c>
      <c r="W15" s="58">
        <f t="shared" si="4"/>
        <v>0.41118664855348847</v>
      </c>
      <c r="X15" s="23">
        <f>ROUND(SUM(L15*K15,O15*N15,R15*Q15,U15*T15,)/SUM(K15,N15,Q15,T15,),2)</f>
        <v>0.13</v>
      </c>
      <c r="Y15" s="38">
        <f t="shared" si="0"/>
        <v>429</v>
      </c>
      <c r="Z15" s="6">
        <f t="shared" si="5"/>
        <v>9.9900000000000003E-2</v>
      </c>
      <c r="AA15" s="5">
        <f t="shared" si="6"/>
        <v>0.128775</v>
      </c>
      <c r="AB15" s="8">
        <f t="shared" si="7"/>
        <v>5.2950560667475478E-2</v>
      </c>
      <c r="AC15" s="7">
        <f t="shared" si="8"/>
        <v>0.41118664855348847</v>
      </c>
      <c r="AD15" s="5">
        <f t="shared" si="1"/>
        <v>7.5824439332524529E-2</v>
      </c>
      <c r="AE15" s="5">
        <f t="shared" si="2"/>
        <v>0.18172556066747547</v>
      </c>
    </row>
    <row r="16" spans="1:36" ht="152.25" customHeight="1" x14ac:dyDescent="0.3">
      <c r="A16" s="26">
        <v>12</v>
      </c>
      <c r="B16" s="32">
        <f>'APÊNDICE II-MEMÓRIA DE CÁLCULO'!B17</f>
        <v>12245</v>
      </c>
      <c r="C16" s="33">
        <f>'APÊNDICE II-MEMÓRIA DE CÁLCULO'!C17</f>
        <v>439813</v>
      </c>
      <c r="D16" s="34" t="str">
        <f>'APÊNDICE II-MEMÓRIA DE CÁLCULO'!D17</f>
        <v>Agulha hipodérmica - uso: descartável, dimensão: 13x0,38mm, (27G X1/2),  material: cânula de aço inoxidável, siliconizado, tipo ponta: bisel trifacetado, características adicionais: com dispositivo de segurança, atendendo a norma NR32 aprovada pela portaria MTE 485 de 11/11/2005, cânula de parede fina, com protetor de encaixe firme, estéril, em embalagem individual de papel grau cirúrgico e/ou filme termoplástico, com abertura em pétala, contendo dados de identificação e procedência, data e tipo da esterilização, prazo de validade e registro em órgão competente, aprovada pelo INMETRO.</v>
      </c>
      <c r="E16" s="33" t="str">
        <f>'APÊNDICE II-MEMÓRIA DE CÁLCULO'!E17</f>
        <v>UNIDADE</v>
      </c>
      <c r="F16" s="35">
        <f>'APÊNDICE II-MEMÓRIA DE CÁLCULO'!L17</f>
        <v>3200</v>
      </c>
      <c r="G16" s="63" t="s">
        <v>809</v>
      </c>
      <c r="H16" s="64">
        <v>6</v>
      </c>
      <c r="I16" s="67">
        <v>0.19</v>
      </c>
      <c r="J16" s="73" t="s">
        <v>810</v>
      </c>
      <c r="K16" s="66">
        <v>1</v>
      </c>
      <c r="L16" s="67">
        <v>0.25</v>
      </c>
      <c r="M16" s="63" t="s">
        <v>629</v>
      </c>
      <c r="N16" s="66">
        <v>1</v>
      </c>
      <c r="O16" s="67">
        <v>0.24</v>
      </c>
      <c r="P16" s="68" t="s">
        <v>350</v>
      </c>
      <c r="Q16" s="66">
        <v>1</v>
      </c>
      <c r="R16" s="67">
        <f>2.35/10</f>
        <v>0.23500000000000001</v>
      </c>
      <c r="S16" s="40" t="s">
        <v>31</v>
      </c>
      <c r="T16" s="55" t="s">
        <v>31</v>
      </c>
      <c r="U16" s="37" t="s">
        <v>31</v>
      </c>
      <c r="V16" s="37">
        <f t="shared" si="3"/>
        <v>2.3014940799402476E-2</v>
      </c>
      <c r="W16" s="58">
        <f t="shared" si="4"/>
        <v>0.10061176305749715</v>
      </c>
      <c r="X16" s="23">
        <f>ROUND(SUM(I16*H16,L16*K16,O16*N16,R16*Q16,)/SUM(H16,K16,N16,Q16,),2)</f>
        <v>0.21</v>
      </c>
      <c r="Y16" s="38">
        <f t="shared" si="0"/>
        <v>672</v>
      </c>
      <c r="Z16" s="6">
        <f t="shared" si="5"/>
        <v>0.23500000000000001</v>
      </c>
      <c r="AA16" s="5">
        <f t="shared" si="6"/>
        <v>0.22875000000000001</v>
      </c>
      <c r="AB16" s="8">
        <f t="shared" si="7"/>
        <v>2.3014940799402476E-2</v>
      </c>
      <c r="AC16" s="7">
        <f t="shared" si="8"/>
        <v>0.10061176305749715</v>
      </c>
      <c r="AD16" s="5">
        <f t="shared" si="1"/>
        <v>0.20573505920059754</v>
      </c>
      <c r="AE16" s="5">
        <f t="shared" si="2"/>
        <v>0.25176494079940248</v>
      </c>
    </row>
    <row r="17" spans="1:31" ht="152.25" customHeight="1" x14ac:dyDescent="0.3">
      <c r="A17" s="26">
        <v>13</v>
      </c>
      <c r="B17" s="32">
        <f>'APÊNDICE II-MEMÓRIA DE CÁLCULO'!B18</f>
        <v>12246</v>
      </c>
      <c r="C17" s="33">
        <f>'APÊNDICE II-MEMÓRIA DE CÁLCULO'!C18</f>
        <v>279726</v>
      </c>
      <c r="D17" s="34" t="str">
        <f>'APÊNDICE II-MEMÓRIA DE CÁLCULO'!D18</f>
        <v>Algodão, tipo: hidrófilo - apresentação: pacote com rolo de 500 g, medidas: mínimo de 20 cm de largura, características adicionais: manta fina, com camadas sobrepostas, formando uma manta de espessura uniforme, regularmente compacto, de aspecto homogêneo e macio, cor branca, boa capacidade de absorção, inodoro, em forma de rolo, enrolado em papel apropriado em toda a sua  extensão. Embalagem contendo externamente dados de identificação e procedência, lote validade e registro de isenção no Ministério da Saúde.</v>
      </c>
      <c r="E17" s="33" t="str">
        <f>'APÊNDICE II-MEMÓRIA DE CÁLCULO'!E18</f>
        <v>PACOTE</v>
      </c>
      <c r="F17" s="35">
        <f>'APÊNDICE II-MEMÓRIA DE CÁLCULO'!L18</f>
        <v>962</v>
      </c>
      <c r="G17" s="63" t="s">
        <v>809</v>
      </c>
      <c r="H17" s="64">
        <v>13</v>
      </c>
      <c r="I17" s="67">
        <v>16.87</v>
      </c>
      <c r="J17" s="73" t="s">
        <v>810</v>
      </c>
      <c r="K17" s="66">
        <v>3</v>
      </c>
      <c r="L17" s="67">
        <v>21.76</v>
      </c>
      <c r="M17" s="63" t="s">
        <v>502</v>
      </c>
      <c r="N17" s="66">
        <v>1</v>
      </c>
      <c r="O17" s="67">
        <v>13.4</v>
      </c>
      <c r="P17" s="68" t="s">
        <v>351</v>
      </c>
      <c r="Q17" s="66">
        <v>1</v>
      </c>
      <c r="R17" s="67">
        <v>17.899999999999999</v>
      </c>
      <c r="S17" s="68" t="s">
        <v>352</v>
      </c>
      <c r="T17" s="66">
        <v>1</v>
      </c>
      <c r="U17" s="67">
        <v>19.97</v>
      </c>
      <c r="V17" s="37">
        <f t="shared" si="3"/>
        <v>2.8447636105659111</v>
      </c>
      <c r="W17" s="58">
        <f t="shared" si="4"/>
        <v>0.15821822083236436</v>
      </c>
      <c r="X17" s="23">
        <f>ROUND(SUM(I17*H17,L17*K17,O17*N17,R17*Q17,U17*T17,)/SUM(H17,K17,N17,Q17,T17,),2)</f>
        <v>17.68</v>
      </c>
      <c r="Y17" s="38">
        <f t="shared" si="0"/>
        <v>17008.16</v>
      </c>
      <c r="Z17" s="6">
        <f t="shared" si="5"/>
        <v>17.384999999999998</v>
      </c>
      <c r="AA17" s="5">
        <f t="shared" si="6"/>
        <v>17.98</v>
      </c>
      <c r="AB17" s="8">
        <f t="shared" si="7"/>
        <v>2.8447636105659111</v>
      </c>
      <c r="AC17" s="7">
        <f t="shared" si="8"/>
        <v>0.15821822083236436</v>
      </c>
      <c r="AD17" s="5">
        <f t="shared" si="1"/>
        <v>15.135236389434089</v>
      </c>
      <c r="AE17" s="5">
        <f t="shared" si="2"/>
        <v>20.82476361056591</v>
      </c>
    </row>
    <row r="18" spans="1:31" ht="111" customHeight="1" x14ac:dyDescent="0.3">
      <c r="A18" s="26">
        <v>14</v>
      </c>
      <c r="B18" s="32">
        <f>'APÊNDICE II-MEMÓRIA DE CÁLCULO'!B19</f>
        <v>12247</v>
      </c>
      <c r="C18" s="33">
        <f>'APÊNDICE II-MEMÓRIA DE CÁLCULO'!C19</f>
        <v>448248</v>
      </c>
      <c r="D18" s="34" t="str">
        <f>'APÊNDICE II-MEMÓRIA DE CÁLCULO'!D19</f>
        <v xml:space="preserve">Algodão, tipo:ortopédico - medidas: 20 cm de largura, 1,80 m de comprimento, apresentação: pacote com rolo de 420g, confeccionado com fibras de puro algodão, com camadas contínuas em forma de rolo, provido de papel em toda a sua extensão, cor natural da fibra do algodão, com relativa impermeabilidade. Embalagem individual contendo externamente dados de identificação e procedência, lote, validade e registro de isenção no Ministério da Saúde. </v>
      </c>
      <c r="E18" s="33" t="str">
        <f>'APÊNDICE II-MEMÓRIA DE CÁLCULO'!E19</f>
        <v>ROLO</v>
      </c>
      <c r="F18" s="35">
        <f>'APÊNDICE II-MEMÓRIA DE CÁLCULO'!L19</f>
        <v>240</v>
      </c>
      <c r="G18" s="63" t="s">
        <v>809</v>
      </c>
      <c r="H18" s="64">
        <v>12</v>
      </c>
      <c r="I18" s="67">
        <v>14.33</v>
      </c>
      <c r="J18" s="73" t="s">
        <v>810</v>
      </c>
      <c r="K18" s="66">
        <v>1</v>
      </c>
      <c r="L18" s="67">
        <v>15.99</v>
      </c>
      <c r="M18" s="40" t="s">
        <v>31</v>
      </c>
      <c r="N18" s="55" t="s">
        <v>31</v>
      </c>
      <c r="O18" s="37" t="s">
        <v>31</v>
      </c>
      <c r="P18" s="68" t="s">
        <v>353</v>
      </c>
      <c r="Q18" s="66">
        <v>1</v>
      </c>
      <c r="R18" s="67">
        <v>10.4</v>
      </c>
      <c r="S18" s="68" t="s">
        <v>354</v>
      </c>
      <c r="T18" s="66">
        <v>1</v>
      </c>
      <c r="U18" s="67">
        <v>18.260000000000002</v>
      </c>
      <c r="V18" s="37">
        <f t="shared" si="3"/>
        <v>2.8703876044882812</v>
      </c>
      <c r="W18" s="58">
        <f t="shared" si="4"/>
        <v>0.19466853879201634</v>
      </c>
      <c r="X18" s="23">
        <f>ROUND(SUM(I18*H18,L18*K18,R18*Q18,U18*T18,)/SUM(H18,K18,Q18,T18,),2)</f>
        <v>14.44</v>
      </c>
      <c r="Y18" s="38">
        <f t="shared" si="0"/>
        <v>3465.6</v>
      </c>
      <c r="Z18" s="6">
        <f t="shared" si="5"/>
        <v>14.33</v>
      </c>
      <c r="AA18" s="5">
        <f t="shared" si="6"/>
        <v>14.745000000000001</v>
      </c>
      <c r="AB18" s="8">
        <f t="shared" si="7"/>
        <v>2.8703876044882812</v>
      </c>
      <c r="AC18" s="7">
        <f t="shared" si="8"/>
        <v>0.19466853879201634</v>
      </c>
      <c r="AD18" s="5">
        <f t="shared" si="1"/>
        <v>11.87461239551172</v>
      </c>
      <c r="AE18" s="5">
        <f t="shared" si="2"/>
        <v>17.615387604488284</v>
      </c>
    </row>
    <row r="19" spans="1:31" ht="160.5" customHeight="1" x14ac:dyDescent="0.3">
      <c r="A19" s="26">
        <v>15</v>
      </c>
      <c r="B19" s="32">
        <f>'APÊNDICE II-MEMÓRIA DE CÁLCULO'!B20</f>
        <v>12248</v>
      </c>
      <c r="C19" s="33">
        <f>'APÊNDICE II-MEMÓRIA DE CÁLCULO'!C20</f>
        <v>444355</v>
      </c>
      <c r="D19" s="34" t="str">
        <f>'APÊNDICE II-MEMÓRIA DE CÁLCULO'!D20</f>
        <v>Atadura, tipo: crepe - medidas: 10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19" s="33" t="str">
        <f>'APÊNDICE II-MEMÓRIA DE CÁLCULO'!E20</f>
        <v>ROLO</v>
      </c>
      <c r="F19" s="35">
        <f>'APÊNDICE II-MEMÓRIA DE CÁLCULO'!L20</f>
        <v>6826</v>
      </c>
      <c r="G19" s="63" t="s">
        <v>809</v>
      </c>
      <c r="H19" s="64">
        <v>17</v>
      </c>
      <c r="I19" s="67">
        <v>0.59</v>
      </c>
      <c r="J19" s="73" t="s">
        <v>810</v>
      </c>
      <c r="K19" s="66">
        <v>3</v>
      </c>
      <c r="L19" s="67">
        <v>0.66</v>
      </c>
      <c r="M19" s="63" t="s">
        <v>624</v>
      </c>
      <c r="N19" s="66">
        <v>1</v>
      </c>
      <c r="O19" s="67">
        <v>0.39</v>
      </c>
      <c r="P19" s="68" t="s">
        <v>812</v>
      </c>
      <c r="Q19" s="66">
        <v>1</v>
      </c>
      <c r="R19" s="67">
        <v>0.56999999999999995</v>
      </c>
      <c r="S19" s="68" t="s">
        <v>355</v>
      </c>
      <c r="T19" s="66">
        <v>1</v>
      </c>
      <c r="U19" s="67">
        <v>0.74</v>
      </c>
      <c r="V19" s="37">
        <f t="shared" si="3"/>
        <v>0.11644741302407687</v>
      </c>
      <c r="W19" s="58">
        <f t="shared" si="4"/>
        <v>0.19736849665097772</v>
      </c>
      <c r="X19" s="23">
        <f>ROUND(SUM(I19*H19,L19*K19,O19*N19,R19*Q19,U19*T19,)/SUM(H19,K19,N19,Q19,T19,),2)</f>
        <v>0.6</v>
      </c>
      <c r="Y19" s="38">
        <f t="shared" si="0"/>
        <v>4095.6</v>
      </c>
      <c r="Z19" s="6">
        <f t="shared" si="5"/>
        <v>0.57999999999999996</v>
      </c>
      <c r="AA19" s="5">
        <f t="shared" si="6"/>
        <v>0.59000000000000008</v>
      </c>
      <c r="AB19" s="8">
        <f t="shared" si="7"/>
        <v>0.11644741302407687</v>
      </c>
      <c r="AC19" s="7">
        <f t="shared" si="8"/>
        <v>0.19736849665097772</v>
      </c>
      <c r="AD19" s="5">
        <f t="shared" si="1"/>
        <v>0.47355258697592323</v>
      </c>
      <c r="AE19" s="5">
        <f t="shared" si="2"/>
        <v>0.70644741302407699</v>
      </c>
    </row>
    <row r="20" spans="1:31" ht="160.5" customHeight="1" x14ac:dyDescent="0.3">
      <c r="A20" s="26">
        <v>16</v>
      </c>
      <c r="B20" s="32">
        <f>'APÊNDICE II-MEMÓRIA DE CÁLCULO'!B21</f>
        <v>12249</v>
      </c>
      <c r="C20" s="33">
        <f>'APÊNDICE II-MEMÓRIA DE CÁLCULO'!C21</f>
        <v>444365</v>
      </c>
      <c r="D20" s="34" t="str">
        <f>'APÊNDICE II-MEMÓRIA DE CÁLCULO'!D21</f>
        <v>Atadura, tipo: crepe - medidas: 15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20" s="33" t="str">
        <f>'APÊNDICE II-MEMÓRIA DE CÁLCULO'!E21</f>
        <v>ROLO</v>
      </c>
      <c r="F20" s="35">
        <f>'APÊNDICE II-MEMÓRIA DE CÁLCULO'!L21</f>
        <v>21643</v>
      </c>
      <c r="G20" s="63" t="s">
        <v>809</v>
      </c>
      <c r="H20" s="64">
        <v>27</v>
      </c>
      <c r="I20" s="67">
        <v>0.81</v>
      </c>
      <c r="J20" s="73" t="s">
        <v>810</v>
      </c>
      <c r="K20" s="66">
        <v>13</v>
      </c>
      <c r="L20" s="67">
        <v>0.81</v>
      </c>
      <c r="M20" s="63" t="s">
        <v>677</v>
      </c>
      <c r="N20" s="66">
        <v>1</v>
      </c>
      <c r="O20" s="67">
        <v>0.57999999999999996</v>
      </c>
      <c r="P20" s="68" t="s">
        <v>387</v>
      </c>
      <c r="Q20" s="66">
        <v>1</v>
      </c>
      <c r="R20" s="67">
        <f>10.99/12</f>
        <v>0.91583333333333339</v>
      </c>
      <c r="S20" s="68" t="s">
        <v>706</v>
      </c>
      <c r="T20" s="66">
        <v>1</v>
      </c>
      <c r="U20" s="67">
        <v>0.86</v>
      </c>
      <c r="V20" s="37">
        <f t="shared" si="3"/>
        <v>0.11445571681270891</v>
      </c>
      <c r="W20" s="58">
        <f t="shared" si="4"/>
        <v>0.14393927916081606</v>
      </c>
      <c r="X20" s="23">
        <f>ROUND(SUM(I20*H20,L20*K20,O20*N20,R20*Q20,U20*T20,)/SUM(H20,K20,N20,Q20,T20,),2)</f>
        <v>0.81</v>
      </c>
      <c r="Y20" s="38">
        <f t="shared" si="0"/>
        <v>17530.830000000002</v>
      </c>
      <c r="Z20" s="6">
        <f t="shared" si="5"/>
        <v>0.81</v>
      </c>
      <c r="AA20" s="5">
        <f t="shared" si="6"/>
        <v>0.79516666666666669</v>
      </c>
      <c r="AB20" s="8">
        <f t="shared" si="7"/>
        <v>0.11445571681270891</v>
      </c>
      <c r="AC20" s="7">
        <f t="shared" si="8"/>
        <v>0.14393927916081606</v>
      </c>
      <c r="AD20" s="5">
        <f t="shared" si="1"/>
        <v>0.68071094985395775</v>
      </c>
      <c r="AE20" s="5">
        <f t="shared" si="2"/>
        <v>0.90962238347937563</v>
      </c>
    </row>
    <row r="21" spans="1:31" ht="160.5" customHeight="1" x14ac:dyDescent="0.3">
      <c r="A21" s="26">
        <v>17</v>
      </c>
      <c r="B21" s="32">
        <f>'APÊNDICE II-MEMÓRIA DE CÁLCULO'!B22</f>
        <v>12250</v>
      </c>
      <c r="C21" s="33">
        <f>'APÊNDICE II-MEMÓRIA DE CÁLCULO'!C22</f>
        <v>444371</v>
      </c>
      <c r="D21" s="34" t="str">
        <f>'APÊNDICE II-MEMÓRIA DE CÁLCULO'!D22</f>
        <v>Atadura, tipo: crepe - medidas: 20 cm de largura e 1,8 m de comprimento em repouso, gramatura: contendo 13 fios / CM2, material: confeccionada em tecido de algodão cru ou componentes sintéticos da melhor qualidade, características adicionais: com bordas delimitadas, com propriedades elásticas nos sentidos longitudinal e transversal, isenta de defeitos, enrolada uniformemente (em forma cilíndrica) em embalagem individual, contendo dados de identificação e procedência, data de fabricação e registro em órgão competente.</v>
      </c>
      <c r="E21" s="33" t="str">
        <f>'APÊNDICE II-MEMÓRIA DE CÁLCULO'!E22</f>
        <v>ROLO</v>
      </c>
      <c r="F21" s="35">
        <f>'APÊNDICE II-MEMÓRIA DE CÁLCULO'!L22</f>
        <v>4111</v>
      </c>
      <c r="G21" s="63" t="s">
        <v>809</v>
      </c>
      <c r="H21" s="64">
        <v>15</v>
      </c>
      <c r="I21" s="67">
        <v>0.8</v>
      </c>
      <c r="J21" s="73" t="s">
        <v>810</v>
      </c>
      <c r="K21" s="66">
        <v>8</v>
      </c>
      <c r="L21" s="67">
        <v>0.84</v>
      </c>
      <c r="M21" s="63" t="s">
        <v>563</v>
      </c>
      <c r="N21" s="66">
        <v>1</v>
      </c>
      <c r="O21" s="67">
        <v>0.69</v>
      </c>
      <c r="P21" s="68" t="s">
        <v>813</v>
      </c>
      <c r="Q21" s="66">
        <v>1</v>
      </c>
      <c r="R21" s="67">
        <f>10.33/12</f>
        <v>0.86083333333333334</v>
      </c>
      <c r="S21" s="68" t="s">
        <v>814</v>
      </c>
      <c r="T21" s="66">
        <v>1</v>
      </c>
      <c r="U21" s="67">
        <v>1.1499999999999999</v>
      </c>
      <c r="V21" s="37">
        <f t="shared" si="3"/>
        <v>0.15275288686124561</v>
      </c>
      <c r="W21" s="58">
        <f t="shared" si="4"/>
        <v>0.17594880421721515</v>
      </c>
      <c r="X21" s="23">
        <f>ROUND(SUM(I21*H21,L21*K21,O21*N21,R21*Q21,U21*T21,)/SUM(H21,K21,N21,Q21,T21,),2)</f>
        <v>0.82</v>
      </c>
      <c r="Y21" s="38">
        <f t="shared" si="0"/>
        <v>3371.02</v>
      </c>
      <c r="Z21" s="6">
        <f t="shared" si="5"/>
        <v>0.82000000000000006</v>
      </c>
      <c r="AA21" s="5">
        <f t="shared" si="6"/>
        <v>0.86816666666666664</v>
      </c>
      <c r="AB21" s="8">
        <f t="shared" si="7"/>
        <v>0.15275288686124561</v>
      </c>
      <c r="AC21" s="7">
        <f t="shared" si="8"/>
        <v>0.17594880421721515</v>
      </c>
      <c r="AD21" s="5">
        <f t="shared" si="1"/>
        <v>0.71541377980542098</v>
      </c>
      <c r="AE21" s="5">
        <f t="shared" si="2"/>
        <v>1.0209195535279123</v>
      </c>
    </row>
    <row r="22" spans="1:31" ht="160.5" customHeight="1" x14ac:dyDescent="0.3">
      <c r="A22" s="26">
        <v>18</v>
      </c>
      <c r="B22" s="32">
        <f>'APÊNDICE II-MEMÓRIA DE CÁLCULO'!B23</f>
        <v>12251</v>
      </c>
      <c r="C22" s="33">
        <f>'APÊNDICE II-MEMÓRIA DE CÁLCULO'!C23</f>
        <v>444610</v>
      </c>
      <c r="D22" s="34" t="str">
        <f>'APÊNDICE II-MEMÓRIA DE CÁLCULO'!D23</f>
        <v xml:space="preserve">Atadura, tipo: gessada - medidas: 10 cm de largura e 3,0 m,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2" s="33" t="str">
        <f>'APÊNDICE II-MEMÓRIA DE CÁLCULO'!E23</f>
        <v>ROLO</v>
      </c>
      <c r="F22" s="35">
        <f>'APÊNDICE II-MEMÓRIA DE CÁLCULO'!L23</f>
        <v>620</v>
      </c>
      <c r="G22" s="63" t="s">
        <v>809</v>
      </c>
      <c r="H22" s="64">
        <v>7</v>
      </c>
      <c r="I22" s="67">
        <v>2.44</v>
      </c>
      <c r="J22" s="73" t="s">
        <v>810</v>
      </c>
      <c r="K22" s="66">
        <v>1</v>
      </c>
      <c r="L22" s="67">
        <v>1.9</v>
      </c>
      <c r="M22" s="63" t="s">
        <v>503</v>
      </c>
      <c r="N22" s="66">
        <v>1</v>
      </c>
      <c r="O22" s="67">
        <v>2.04</v>
      </c>
      <c r="P22" s="68" t="s">
        <v>357</v>
      </c>
      <c r="Q22" s="66">
        <v>1</v>
      </c>
      <c r="R22" s="67">
        <v>2.99</v>
      </c>
      <c r="S22" s="68" t="s">
        <v>358</v>
      </c>
      <c r="T22" s="66">
        <v>1</v>
      </c>
      <c r="U22" s="67">
        <v>3.65</v>
      </c>
      <c r="V22" s="37">
        <f t="shared" si="3"/>
        <v>0.64555712373112173</v>
      </c>
      <c r="W22" s="58">
        <f t="shared" si="4"/>
        <v>0.24790980174006211</v>
      </c>
      <c r="X22" s="23">
        <f>ROUND(SUM(I22*H22,L22*K22,O22*N22,R22*Q22,U22*T22,)/SUM(H22,K22,N22,Q22,T22,),2)</f>
        <v>2.5099999999999998</v>
      </c>
      <c r="Y22" s="38">
        <f t="shared" si="0"/>
        <v>1556.1999999999998</v>
      </c>
      <c r="Z22" s="6">
        <f t="shared" si="5"/>
        <v>2.2400000000000002</v>
      </c>
      <c r="AA22" s="5">
        <f t="shared" si="6"/>
        <v>2.6040000000000001</v>
      </c>
      <c r="AB22" s="8">
        <f t="shared" si="7"/>
        <v>0.64555712373112173</v>
      </c>
      <c r="AC22" s="7">
        <f t="shared" si="8"/>
        <v>0.24790980174006211</v>
      </c>
      <c r="AD22" s="5">
        <f t="shared" si="1"/>
        <v>1.9584428762688784</v>
      </c>
      <c r="AE22" s="5">
        <f t="shared" si="2"/>
        <v>3.2495571237311216</v>
      </c>
    </row>
    <row r="23" spans="1:31" ht="160.5" customHeight="1" x14ac:dyDescent="0.3">
      <c r="A23" s="26">
        <v>19</v>
      </c>
      <c r="B23" s="32">
        <f>'APÊNDICE II-MEMÓRIA DE CÁLCULO'!B24</f>
        <v>12252</v>
      </c>
      <c r="C23" s="33">
        <f>'APÊNDICE II-MEMÓRIA DE CÁLCULO'!C24</f>
        <v>444613</v>
      </c>
      <c r="D23" s="34" t="str">
        <f>'APÊNDICE II-MEMÓRIA DE CÁLCULO'!D24</f>
        <v xml:space="preserve">Atadura, tipo: gessada - medidas: 15 cm de largura e 3,0 m, de comprimento, gaze estabilizada, impregnada com gesso coloidal e com lateral de corte sinuoso para evitar desfiamento e consequentemente o garroteamento na aplicação, sem emendas, na cor branca, saturável com água a temperatura de 2,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3" s="33" t="str">
        <f>'APÊNDICE II-MEMÓRIA DE CÁLCULO'!E24</f>
        <v>ROLO</v>
      </c>
      <c r="F23" s="35">
        <f>'APÊNDICE II-MEMÓRIA DE CÁLCULO'!L24</f>
        <v>607</v>
      </c>
      <c r="G23" s="63" t="s">
        <v>809</v>
      </c>
      <c r="H23" s="64">
        <v>4</v>
      </c>
      <c r="I23" s="67">
        <v>5.0999999999999996</v>
      </c>
      <c r="J23" s="73" t="s">
        <v>810</v>
      </c>
      <c r="K23" s="66">
        <v>8</v>
      </c>
      <c r="L23" s="67">
        <v>6.08</v>
      </c>
      <c r="M23" s="63" t="s">
        <v>504</v>
      </c>
      <c r="N23" s="66">
        <v>1</v>
      </c>
      <c r="O23" s="67">
        <v>3.54</v>
      </c>
      <c r="P23" s="68" t="s">
        <v>815</v>
      </c>
      <c r="Q23" s="66">
        <v>1</v>
      </c>
      <c r="R23" s="67">
        <v>4.54</v>
      </c>
      <c r="S23" s="68" t="s">
        <v>774</v>
      </c>
      <c r="T23" s="66">
        <v>1</v>
      </c>
      <c r="U23" s="67">
        <f>71.6/20</f>
        <v>3.5799999999999996</v>
      </c>
      <c r="V23" s="37">
        <f t="shared" si="3"/>
        <v>0.95946651843616204</v>
      </c>
      <c r="W23" s="58">
        <f>AC23</f>
        <v>0.21004083153155914</v>
      </c>
      <c r="X23" s="23">
        <f>ROUND(SUM(I23*H23,L23*K23,O23*N23,R23*Q23,U23*T23,)/SUM(H23,K23,N23,Q23,T23,),2)</f>
        <v>5.38</v>
      </c>
      <c r="Y23" s="38">
        <f t="shared" si="0"/>
        <v>3265.66</v>
      </c>
      <c r="Z23" s="6">
        <f t="shared" si="5"/>
        <v>4.0599999999999996</v>
      </c>
      <c r="AA23" s="5">
        <f t="shared" si="6"/>
        <v>4.5679999999999996</v>
      </c>
      <c r="AB23" s="8">
        <f t="shared" si="7"/>
        <v>0.95946651843616204</v>
      </c>
      <c r="AC23" s="7">
        <f t="shared" si="8"/>
        <v>0.21004083153155914</v>
      </c>
      <c r="AD23" s="5">
        <f t="shared" si="1"/>
        <v>3.6085334815638377</v>
      </c>
      <c r="AE23" s="5">
        <f t="shared" si="2"/>
        <v>5.527466518436162</v>
      </c>
    </row>
    <row r="24" spans="1:31" ht="160.5" customHeight="1" x14ac:dyDescent="0.3">
      <c r="A24" s="26">
        <v>20</v>
      </c>
      <c r="B24" s="32">
        <f>'APÊNDICE II-MEMÓRIA DE CÁLCULO'!B25</f>
        <v>12253</v>
      </c>
      <c r="C24" s="33">
        <f>'APÊNDICE II-MEMÓRIA DE CÁLCULO'!C25</f>
        <v>444614</v>
      </c>
      <c r="D24" s="34" t="str">
        <f>'APÊNDICE II-MEMÓRIA DE CÁLCULO'!D25</f>
        <v xml:space="preserve">Atadura, tipo: gessada - medidas: 20 cm de largura e 4,0 m, de comprimento, gaze estabilizada, impregnada com gesso coloidal e com lateral de corte sinuoso para evitar desfiamento e consequentemente o garroteamento na aplicação, sem emendas, na cor branca, saturável com água a temperatura de 20, a 25ºC, tempo de imersão em dois segundos, secagem de 5 a 6 minutos, capacidade de carga após 30 minutos, enrolamento em tubo plástico perfurado, sendo envolvida com papel parafinado. Embalagem em saco plástico contendo dados de identificação e procedência e registro em órgão competente. </v>
      </c>
      <c r="E24" s="33" t="str">
        <f>'APÊNDICE II-MEMÓRIA DE CÁLCULO'!E25</f>
        <v>ROLO</v>
      </c>
      <c r="F24" s="35">
        <f>'APÊNDICE II-MEMÓRIA DE CÁLCULO'!L25</f>
        <v>280</v>
      </c>
      <c r="G24" s="63" t="s">
        <v>809</v>
      </c>
      <c r="H24" s="64">
        <v>1</v>
      </c>
      <c r="I24" s="67">
        <v>5.35</v>
      </c>
      <c r="J24" s="73" t="s">
        <v>810</v>
      </c>
      <c r="K24" s="66">
        <v>1</v>
      </c>
      <c r="L24" s="67">
        <v>5.29</v>
      </c>
      <c r="M24" s="63" t="s">
        <v>420</v>
      </c>
      <c r="N24" s="66">
        <v>65</v>
      </c>
      <c r="O24" s="67">
        <v>5.35</v>
      </c>
      <c r="P24" s="40" t="s">
        <v>31</v>
      </c>
      <c r="Q24" s="55" t="s">
        <v>31</v>
      </c>
      <c r="R24" s="37" t="s">
        <v>31</v>
      </c>
      <c r="S24" s="40" t="s">
        <v>31</v>
      </c>
      <c r="T24" s="55" t="s">
        <v>31</v>
      </c>
      <c r="U24" s="37" t="s">
        <v>31</v>
      </c>
      <c r="V24" s="37">
        <f t="shared" si="3"/>
        <v>2.8284271247461714E-2</v>
      </c>
      <c r="W24" s="58">
        <f t="shared" si="4"/>
        <v>5.3066174948333432E-3</v>
      </c>
      <c r="X24" s="23">
        <f>ROUND(SUM(I24*H24,L24*K24,O24*N24,)/SUM(H24,K24,N24,),2)</f>
        <v>5.35</v>
      </c>
      <c r="Y24" s="38">
        <f t="shared" si="0"/>
        <v>1498</v>
      </c>
      <c r="Z24" s="6">
        <f t="shared" si="5"/>
        <v>5.32</v>
      </c>
      <c r="AA24" s="5">
        <f t="shared" si="6"/>
        <v>5.3299999999999992</v>
      </c>
      <c r="AB24" s="8">
        <f t="shared" si="7"/>
        <v>2.8284271247461714E-2</v>
      </c>
      <c r="AC24" s="7">
        <f t="shared" si="8"/>
        <v>5.3066174948333432E-3</v>
      </c>
      <c r="AD24" s="5">
        <f t="shared" si="1"/>
        <v>5.3017157287525372</v>
      </c>
      <c r="AE24" s="5">
        <f t="shared" si="2"/>
        <v>5.3582842712474612</v>
      </c>
    </row>
    <row r="25" spans="1:31" ht="111" customHeight="1" x14ac:dyDescent="0.3">
      <c r="A25" s="26">
        <v>21</v>
      </c>
      <c r="B25" s="32">
        <f>'APÊNDICE II-MEMÓRIA DE CÁLCULO'!B26</f>
        <v>12254</v>
      </c>
      <c r="C25" s="33">
        <f>'APÊNDICE II-MEMÓRIA DE CÁLCULO'!C26</f>
        <v>348807</v>
      </c>
      <c r="D25" s="34" t="str">
        <f>'APÊNDICE II-MEMÓRIA DE CÁLCULO'!D26</f>
        <v xml:space="preserve">Abaixador de língua - material: madeira, tipo: descartável de uso único, formato: espátula convencional com extremidade arredondada, sem rebarbas, dimensões aproximadas: largura: 1,4cm, comprimento: 14cm, espessura: 0,5mm, apresentação: pacote com 100 unidades, características adicionais: Embalagem contendo dados de identificação, procedência, lote, validade e registro em órgão competente.  </v>
      </c>
      <c r="E25" s="33" t="str">
        <f>'APÊNDICE II-MEMÓRIA DE CÁLCULO'!E26</f>
        <v>PACOTE</v>
      </c>
      <c r="F25" s="35">
        <f>'APÊNDICE II-MEMÓRIA DE CÁLCULO'!L26</f>
        <v>264</v>
      </c>
      <c r="G25" s="63" t="s">
        <v>809</v>
      </c>
      <c r="H25" s="64">
        <v>5</v>
      </c>
      <c r="I25" s="67">
        <v>4.75</v>
      </c>
      <c r="J25" s="73" t="s">
        <v>810</v>
      </c>
      <c r="K25" s="66">
        <v>12</v>
      </c>
      <c r="L25" s="67">
        <v>5.38</v>
      </c>
      <c r="M25" s="63" t="s">
        <v>565</v>
      </c>
      <c r="N25" s="66">
        <v>1</v>
      </c>
      <c r="O25" s="67">
        <v>5.79</v>
      </c>
      <c r="P25" s="68" t="s">
        <v>771</v>
      </c>
      <c r="Q25" s="66">
        <v>1</v>
      </c>
      <c r="R25" s="67">
        <v>6.9</v>
      </c>
      <c r="S25" s="68" t="s">
        <v>798</v>
      </c>
      <c r="T25" s="66">
        <v>1</v>
      </c>
      <c r="U25" s="67">
        <v>6.42</v>
      </c>
      <c r="V25" s="37">
        <f t="shared" si="3"/>
        <v>0.75655535157713605</v>
      </c>
      <c r="W25" s="58">
        <f t="shared" si="4"/>
        <v>0.12936993016024897</v>
      </c>
      <c r="X25" s="23">
        <f>ROUND(SUM(I25*H25,L25*K25,O25*N25,R25*Q25,U25*T25,)/SUM(H25,K25,N25,Q25,T25,),2)</f>
        <v>5.37</v>
      </c>
      <c r="Y25" s="38">
        <f t="shared" si="0"/>
        <v>1417.68</v>
      </c>
      <c r="Z25" s="6">
        <f t="shared" si="5"/>
        <v>5.585</v>
      </c>
      <c r="AA25" s="5">
        <f t="shared" si="6"/>
        <v>5.8479999999999999</v>
      </c>
      <c r="AB25" s="8">
        <f t="shared" si="7"/>
        <v>0.75655535157713605</v>
      </c>
      <c r="AC25" s="7">
        <f t="shared" si="8"/>
        <v>0.12936993016024897</v>
      </c>
      <c r="AD25" s="5">
        <f t="shared" si="1"/>
        <v>5.0914446484228639</v>
      </c>
      <c r="AE25" s="5">
        <f t="shared" si="2"/>
        <v>6.6045553515771358</v>
      </c>
    </row>
    <row r="26" spans="1:31" ht="111" customHeight="1" x14ac:dyDescent="0.3">
      <c r="A26" s="26">
        <v>22</v>
      </c>
      <c r="B26" s="32">
        <f>'APÊNDICE II-MEMÓRIA DE CÁLCULO'!B27</f>
        <v>12255</v>
      </c>
      <c r="C26" s="33">
        <f>'APÊNDICE II-MEMÓRIA DE CÁLCULO'!C27</f>
        <v>456409</v>
      </c>
      <c r="D26" s="34" t="str">
        <f>'APÊNDICE II-MEMÓRIA DE CÁLCULO'!D27</f>
        <v xml:space="preserve">Ambú reanimador, tamanho: adulto, material: silicone transparente, características: com reservatório de O2., de 1500 a 1700ml, com balão de insuflação transparente facilita o uso, a assepsia e a visualização de resíduos. Embalagem contendo data de validade, dados de identificação e registro no Ministério da Saúde. </v>
      </c>
      <c r="E26" s="33" t="str">
        <f>'APÊNDICE II-MEMÓRIA DE CÁLCULO'!E27</f>
        <v>UNIDADE</v>
      </c>
      <c r="F26" s="35">
        <f>'APÊNDICE II-MEMÓRIA DE CÁLCULO'!L27</f>
        <v>170</v>
      </c>
      <c r="G26" s="63" t="s">
        <v>809</v>
      </c>
      <c r="H26" s="64">
        <v>3</v>
      </c>
      <c r="I26" s="65">
        <v>140</v>
      </c>
      <c r="J26" s="73" t="s">
        <v>810</v>
      </c>
      <c r="K26" s="64">
        <v>4</v>
      </c>
      <c r="L26" s="65">
        <v>160.37</v>
      </c>
      <c r="M26" s="63" t="s">
        <v>566</v>
      </c>
      <c r="N26" s="66">
        <v>1</v>
      </c>
      <c r="O26" s="67">
        <v>159.5</v>
      </c>
      <c r="P26" s="68" t="s">
        <v>361</v>
      </c>
      <c r="Q26" s="66">
        <v>1</v>
      </c>
      <c r="R26" s="67">
        <v>186.9</v>
      </c>
      <c r="S26" s="68" t="s">
        <v>761</v>
      </c>
      <c r="T26" s="66">
        <v>1</v>
      </c>
      <c r="U26" s="67">
        <v>174.72</v>
      </c>
      <c r="V26" s="37">
        <f t="shared" si="3"/>
        <v>15.800704288100581</v>
      </c>
      <c r="W26" s="58">
        <f t="shared" si="4"/>
        <v>9.6171008095658997E-2</v>
      </c>
      <c r="X26" s="23">
        <f>ROUND(SUM(I26*H26,L26*K26,O26*N26,R26*Q26,U26*T26,)/SUM(H26,K26,N26,Q26,T26,),2)</f>
        <v>158.26</v>
      </c>
      <c r="Y26" s="38">
        <f t="shared" si="0"/>
        <v>26904.199999999997</v>
      </c>
      <c r="Z26" s="6">
        <f t="shared" si="5"/>
        <v>159.935</v>
      </c>
      <c r="AA26" s="5">
        <f t="shared" si="6"/>
        <v>164.298</v>
      </c>
      <c r="AB26" s="8">
        <f t="shared" si="7"/>
        <v>15.800704288100581</v>
      </c>
      <c r="AC26" s="7">
        <f t="shared" si="8"/>
        <v>9.6171008095658997E-2</v>
      </c>
      <c r="AD26" s="5">
        <f t="shared" si="1"/>
        <v>148.49729571189943</v>
      </c>
      <c r="AE26" s="5">
        <f t="shared" si="2"/>
        <v>180.09870428810058</v>
      </c>
    </row>
    <row r="27" spans="1:31" ht="111" customHeight="1" x14ac:dyDescent="0.3">
      <c r="A27" s="26">
        <v>23</v>
      </c>
      <c r="B27" s="32">
        <f>'APÊNDICE II-MEMÓRIA DE CÁLCULO'!B28</f>
        <v>12256</v>
      </c>
      <c r="C27" s="33">
        <f>'APÊNDICE II-MEMÓRIA DE CÁLCULO'!C28</f>
        <v>456413</v>
      </c>
      <c r="D27" s="34" t="str">
        <f>'APÊNDICE II-MEMÓRIA DE CÁLCULO'!D28</f>
        <v>Ambú reanimador - tamanho: infantil, material: silicone transparente, características: com reservatório de O2.,de 1500ml, com balão de insuflação transparente facilita o uso, a assepsia e a visualização de resíduos. Embalagem contendo data de validade, dados de identificação e registro no Ministério da Saúde.</v>
      </c>
      <c r="E27" s="33" t="str">
        <f>'APÊNDICE II-MEMÓRIA DE CÁLCULO'!E28</f>
        <v>UNIDADE</v>
      </c>
      <c r="F27" s="35">
        <f>'APÊNDICE II-MEMÓRIA DE CÁLCULO'!L28</f>
        <v>24</v>
      </c>
      <c r="G27" s="63" t="s">
        <v>809</v>
      </c>
      <c r="H27" s="64">
        <v>5</v>
      </c>
      <c r="I27" s="65">
        <v>112</v>
      </c>
      <c r="J27" s="73" t="s">
        <v>810</v>
      </c>
      <c r="K27" s="64">
        <v>1</v>
      </c>
      <c r="L27" s="65">
        <v>146.69999999999999</v>
      </c>
      <c r="M27" s="63" t="s">
        <v>567</v>
      </c>
      <c r="N27" s="66">
        <v>1</v>
      </c>
      <c r="O27" s="67">
        <v>134.85</v>
      </c>
      <c r="P27" s="68" t="s">
        <v>363</v>
      </c>
      <c r="Q27" s="66">
        <v>1</v>
      </c>
      <c r="R27" s="67">
        <v>207.66</v>
      </c>
      <c r="S27" s="40" t="s">
        <v>31</v>
      </c>
      <c r="T27" s="55" t="s">
        <v>31</v>
      </c>
      <c r="U27" s="37" t="s">
        <v>31</v>
      </c>
      <c r="V27" s="37">
        <f t="shared" si="3"/>
        <v>35.386162814721743</v>
      </c>
      <c r="W27" s="58">
        <f t="shared" si="4"/>
        <v>0.23543296229085839</v>
      </c>
      <c r="X27" s="23">
        <f>ROUND(SUM(I27*H27,L27*K27,O27*N27,R27*Q27,)/SUM(H27,K27,N27,Q27,),2)</f>
        <v>131.15</v>
      </c>
      <c r="Y27" s="38">
        <f t="shared" si="0"/>
        <v>3147.6000000000004</v>
      </c>
      <c r="Z27" s="6">
        <f t="shared" si="5"/>
        <v>134.85</v>
      </c>
      <c r="AA27" s="5">
        <f t="shared" si="6"/>
        <v>150.30250000000001</v>
      </c>
      <c r="AB27" s="8">
        <f t="shared" si="7"/>
        <v>35.386162814721743</v>
      </c>
      <c r="AC27" s="7">
        <f t="shared" si="8"/>
        <v>0.23543296229085839</v>
      </c>
      <c r="AD27" s="5">
        <f t="shared" si="1"/>
        <v>114.91633718527827</v>
      </c>
      <c r="AE27" s="5">
        <f t="shared" si="2"/>
        <v>185.68866281472174</v>
      </c>
    </row>
    <row r="28" spans="1:31" ht="111" customHeight="1" x14ac:dyDescent="0.3">
      <c r="A28" s="26">
        <v>24</v>
      </c>
      <c r="B28" s="32">
        <f>'APÊNDICE II-MEMÓRIA DE CÁLCULO'!B29</f>
        <v>12257</v>
      </c>
      <c r="C28" s="33">
        <f>'APÊNDICE II-MEMÓRIA DE CÁLCULO'!C29</f>
        <v>434250</v>
      </c>
      <c r="D28" s="34" t="str">
        <f>'APÊNDICE II-MEMÓRIA DE CÁLCULO'!D29</f>
        <v xml:space="preserve">Avental hospitalar - tipo: descartável, material: TNT, gramatura: 40 G, modelo: manga longa, tamanho: único. </v>
      </c>
      <c r="E28" s="33" t="str">
        <f>'APÊNDICE II-MEMÓRIA DE CÁLCULO'!E29</f>
        <v>UNIDADE</v>
      </c>
      <c r="F28" s="35">
        <f>'APÊNDICE II-MEMÓRIA DE CÁLCULO'!L29</f>
        <v>1800</v>
      </c>
      <c r="G28" s="63" t="s">
        <v>809</v>
      </c>
      <c r="H28" s="64">
        <v>1</v>
      </c>
      <c r="I28" s="65">
        <v>2.27</v>
      </c>
      <c r="J28" s="73" t="s">
        <v>810</v>
      </c>
      <c r="K28" s="64">
        <v>1</v>
      </c>
      <c r="L28" s="65">
        <v>3.13</v>
      </c>
      <c r="M28" s="63" t="s">
        <v>568</v>
      </c>
      <c r="N28" s="66">
        <v>1</v>
      </c>
      <c r="O28" s="67">
        <v>2.35</v>
      </c>
      <c r="P28" s="68" t="s">
        <v>816</v>
      </c>
      <c r="Q28" s="66">
        <v>1</v>
      </c>
      <c r="R28" s="67">
        <f>39/10</f>
        <v>3.9</v>
      </c>
      <c r="S28" s="68" t="s">
        <v>785</v>
      </c>
      <c r="T28" s="66">
        <v>1</v>
      </c>
      <c r="U28" s="67">
        <f>39.9/10</f>
        <v>3.9899999999999998</v>
      </c>
      <c r="V28" s="37">
        <f t="shared" si="3"/>
        <v>0.73218576877729524</v>
      </c>
      <c r="W28" s="58">
        <f t="shared" si="4"/>
        <v>0.23407473426384118</v>
      </c>
      <c r="X28" s="23">
        <f>ROUND(SUM(I28*H28,L28*K28,O28*N28,R28*Q28,U28*T28,)/SUM(H28,K28,N28,Q28,T28,),2)</f>
        <v>3.13</v>
      </c>
      <c r="Y28" s="38">
        <f t="shared" si="0"/>
        <v>5634</v>
      </c>
      <c r="Z28" s="6">
        <f t="shared" si="5"/>
        <v>2.74</v>
      </c>
      <c r="AA28" s="5">
        <f t="shared" si="6"/>
        <v>3.1280000000000001</v>
      </c>
      <c r="AB28" s="8">
        <f t="shared" si="7"/>
        <v>0.73218576877729524</v>
      </c>
      <c r="AC28" s="7">
        <f t="shared" si="8"/>
        <v>0.23407473426384118</v>
      </c>
      <c r="AD28" s="5">
        <f t="shared" si="1"/>
        <v>2.3958142312227046</v>
      </c>
      <c r="AE28" s="5">
        <f t="shared" si="2"/>
        <v>3.8601857687772956</v>
      </c>
    </row>
    <row r="29" spans="1:31" ht="111" customHeight="1" x14ac:dyDescent="0.3">
      <c r="A29" s="26">
        <v>25</v>
      </c>
      <c r="B29" s="32">
        <f>'APÊNDICE II-MEMÓRIA DE CÁLCULO'!B30</f>
        <v>12258</v>
      </c>
      <c r="C29" s="33" t="str">
        <f>'APÊNDICE II-MEMÓRIA DE CÁLCULO'!C30</f>
        <v>-</v>
      </c>
      <c r="D29" s="34" t="str">
        <f>'APÊNDICE II-MEMÓRIA DE CÁLCULO'!D30</f>
        <v>Bolsa para colostomia fechada - opaca recortável 19-64 mm. Descartável com orifício 19-64 mm -confeccionada em plástico, adesivo hipoalergênico recortável de 19mm a 64 mm. Com proteção ante odor, drenável com clipe de selagem individual, com adesivo micropore e placa com protetor cutâneo hipoalergênico. Embalagem contendo externamente dados de identificação e procedência, data de fabricação, lote e registro em órgão competente.</v>
      </c>
      <c r="E29" s="33" t="str">
        <f>'APÊNDICE II-MEMÓRIA DE CÁLCULO'!E30</f>
        <v>UNIDADE</v>
      </c>
      <c r="F29" s="35">
        <f>'APÊNDICE II-MEMÓRIA DE CÁLCULO'!L30</f>
        <v>1000</v>
      </c>
      <c r="G29" s="63" t="s">
        <v>809</v>
      </c>
      <c r="H29" s="64">
        <v>2</v>
      </c>
      <c r="I29" s="67">
        <v>14.74</v>
      </c>
      <c r="J29" s="56" t="s">
        <v>31</v>
      </c>
      <c r="K29" s="55" t="s">
        <v>31</v>
      </c>
      <c r="L29" s="37" t="s">
        <v>31</v>
      </c>
      <c r="M29" s="63" t="s">
        <v>569</v>
      </c>
      <c r="N29" s="66">
        <v>1</v>
      </c>
      <c r="O29" s="67">
        <v>9.5</v>
      </c>
      <c r="P29" s="40" t="s">
        <v>31</v>
      </c>
      <c r="Q29" s="55" t="s">
        <v>31</v>
      </c>
      <c r="R29" s="37" t="s">
        <v>31</v>
      </c>
      <c r="S29" s="68" t="s">
        <v>817</v>
      </c>
      <c r="T29" s="66">
        <v>1</v>
      </c>
      <c r="U29" s="67">
        <v>18</v>
      </c>
      <c r="V29" s="37">
        <f t="shared" si="3"/>
        <v>3.5013521197769641</v>
      </c>
      <c r="W29" s="58">
        <f t="shared" si="4"/>
        <v>0.24867557668870482</v>
      </c>
      <c r="X29" s="23">
        <f>ROUND(SUM(I29*H29,O29*N29,U29*T29,)/SUM(H29,N29,T29,),2)</f>
        <v>14.25</v>
      </c>
      <c r="Y29" s="38">
        <f t="shared" si="0"/>
        <v>14250</v>
      </c>
      <c r="Z29" s="6">
        <f t="shared" si="5"/>
        <v>12.120000000000001</v>
      </c>
      <c r="AA29" s="5">
        <f t="shared" si="6"/>
        <v>14.08</v>
      </c>
      <c r="AB29" s="8">
        <f t="shared" si="7"/>
        <v>3.5013521197769641</v>
      </c>
      <c r="AC29" s="7">
        <f t="shared" si="8"/>
        <v>0.24867557668870482</v>
      </c>
      <c r="AD29" s="5">
        <f t="shared" si="1"/>
        <v>10.578647880223036</v>
      </c>
      <c r="AE29" s="5">
        <f t="shared" si="2"/>
        <v>17.581352119776966</v>
      </c>
    </row>
    <row r="30" spans="1:31" ht="111" customHeight="1" x14ac:dyDescent="0.3">
      <c r="A30" s="26">
        <v>26</v>
      </c>
      <c r="B30" s="32">
        <f>'APÊNDICE II-MEMÓRIA DE CÁLCULO'!B31</f>
        <v>16608</v>
      </c>
      <c r="C30" s="33" t="str">
        <f>'APÊNDICE II-MEMÓRIA DE CÁLCULO'!C31</f>
        <v>-</v>
      </c>
      <c r="D30" s="34" t="str">
        <f>'APÊNDICE II-MEMÓRIA DE CÁLCULO'!D31</f>
        <v>Bolsa coletora de urina - tipo: infantil, uso: descartável, modelo: unissex, características adicionais: com furo recortado no modelo unissex com furo oval, com fita adesiva dupla face, hipoalérgica, resistente e que não desprende do conjunto, composto por saco com comprimento de 17 cm e largura de 10 cm, com um furo pré-cortado e com película protetora não aderente e destacável.</v>
      </c>
      <c r="E30" s="33" t="str">
        <f>'APÊNDICE II-MEMÓRIA DE CÁLCULO'!E31</f>
        <v>UNIDADE</v>
      </c>
      <c r="F30" s="35">
        <f>'APÊNDICE II-MEMÓRIA DE CÁLCULO'!L31</f>
        <v>317</v>
      </c>
      <c r="G30" s="63" t="s">
        <v>809</v>
      </c>
      <c r="H30" s="64">
        <v>4</v>
      </c>
      <c r="I30" s="67">
        <v>0.53</v>
      </c>
      <c r="J30" s="56" t="s">
        <v>31</v>
      </c>
      <c r="K30" s="55" t="s">
        <v>31</v>
      </c>
      <c r="L30" s="37" t="s">
        <v>31</v>
      </c>
      <c r="M30" s="63" t="s">
        <v>570</v>
      </c>
      <c r="N30" s="66">
        <v>1</v>
      </c>
      <c r="O30" s="67">
        <v>0.39</v>
      </c>
      <c r="P30" s="68" t="s">
        <v>367</v>
      </c>
      <c r="Q30" s="66">
        <v>1</v>
      </c>
      <c r="R30" s="67">
        <f>6.43/10</f>
        <v>0.64300000000000002</v>
      </c>
      <c r="S30" s="68" t="s">
        <v>354</v>
      </c>
      <c r="T30" s="66">
        <v>1</v>
      </c>
      <c r="U30" s="67">
        <f>7.39/10</f>
        <v>0.73899999999999999</v>
      </c>
      <c r="V30" s="37">
        <f t="shared" si="3"/>
        <v>0.13016239856425507</v>
      </c>
      <c r="W30" s="58">
        <f t="shared" si="4"/>
        <v>0.22617271687967866</v>
      </c>
      <c r="X30" s="23">
        <f>ROUND(SUM(I30*H30,O30*N30,R30*Q30,U30*T30,)/SUM(H30,N30,Q30,T30,),2)</f>
        <v>0.56000000000000005</v>
      </c>
      <c r="Y30" s="38">
        <f t="shared" si="0"/>
        <v>177.52</v>
      </c>
      <c r="Z30" s="6">
        <f t="shared" si="5"/>
        <v>0.53</v>
      </c>
      <c r="AA30" s="5">
        <f t="shared" si="6"/>
        <v>0.57550000000000001</v>
      </c>
      <c r="AB30" s="8">
        <f t="shared" si="7"/>
        <v>0.13016239856425507</v>
      </c>
      <c r="AC30" s="7">
        <f t="shared" si="8"/>
        <v>0.22617271687967866</v>
      </c>
      <c r="AD30" s="5">
        <f t="shared" si="1"/>
        <v>0.44533760143574497</v>
      </c>
      <c r="AE30" s="5">
        <f t="shared" si="2"/>
        <v>0.70566239856425506</v>
      </c>
    </row>
    <row r="31" spans="1:31" ht="111" customHeight="1" x14ac:dyDescent="0.3">
      <c r="A31" s="26">
        <v>27</v>
      </c>
      <c r="B31" s="32">
        <f>'APÊNDICE II-MEMÓRIA DE CÁLCULO'!B32</f>
        <v>12260</v>
      </c>
      <c r="C31" s="33" t="str">
        <f>'APÊNDICE II-MEMÓRIA DE CÁLCULO'!C32</f>
        <v>-</v>
      </c>
      <c r="D31" s="34" t="str">
        <f>'APÊNDICE II-MEMÓRIA DE CÁLCULO'!D32</f>
        <v>Bolsa para colostomia com disco - transparente, medidas aproximadas: de 20 à 70mm, apresentação: pacote com 10 unidades.</v>
      </c>
      <c r="E31" s="33" t="str">
        <f>'APÊNDICE II-MEMÓRIA DE CÁLCULO'!E32</f>
        <v>PACOTE</v>
      </c>
      <c r="F31" s="35">
        <f>'APÊNDICE II-MEMÓRIA DE CÁLCULO'!L32</f>
        <v>130</v>
      </c>
      <c r="G31" s="63" t="s">
        <v>809</v>
      </c>
      <c r="H31" s="64">
        <v>1</v>
      </c>
      <c r="I31" s="67">
        <f>21*10</f>
        <v>210</v>
      </c>
      <c r="J31" s="56" t="s">
        <v>31</v>
      </c>
      <c r="K31" s="55" t="s">
        <v>31</v>
      </c>
      <c r="L31" s="37" t="s">
        <v>31</v>
      </c>
      <c r="M31" s="63" t="s">
        <v>505</v>
      </c>
      <c r="N31" s="66">
        <v>1</v>
      </c>
      <c r="O31" s="67">
        <v>224</v>
      </c>
      <c r="P31" s="68" t="s">
        <v>368</v>
      </c>
      <c r="Q31" s="66">
        <v>1</v>
      </c>
      <c r="R31" s="67">
        <v>200</v>
      </c>
      <c r="S31" s="179" t="s">
        <v>369</v>
      </c>
      <c r="T31" s="180">
        <v>1</v>
      </c>
      <c r="U31" s="181">
        <v>299.89999999999998</v>
      </c>
      <c r="V31" s="37">
        <f t="shared" si="3"/>
        <v>39.286471908279033</v>
      </c>
      <c r="W31" s="58">
        <f t="shared" si="4"/>
        <v>0.1682684309167107</v>
      </c>
      <c r="X31" s="23">
        <f>ROUND(SUM(I31*H31,O31*N31,R31*Q31,U31*T31,)/SUM(H31,N31,Q31,T31,),2)</f>
        <v>233.48</v>
      </c>
      <c r="Y31" s="38">
        <f t="shared" si="0"/>
        <v>30352.399999999998</v>
      </c>
      <c r="Z31" s="6">
        <f t="shared" si="5"/>
        <v>210</v>
      </c>
      <c r="AA31" s="5">
        <f t="shared" si="6"/>
        <v>233.47499999999999</v>
      </c>
      <c r="AB31" s="8">
        <f t="shared" si="7"/>
        <v>39.286471908279033</v>
      </c>
      <c r="AC31" s="7">
        <f t="shared" si="8"/>
        <v>0.1682684309167107</v>
      </c>
      <c r="AD31" s="5">
        <f t="shared" si="1"/>
        <v>194.18852809172097</v>
      </c>
      <c r="AE31" s="5">
        <f t="shared" si="2"/>
        <v>272.76147190827902</v>
      </c>
    </row>
    <row r="32" spans="1:31" ht="111" customHeight="1" x14ac:dyDescent="0.3">
      <c r="A32" s="26">
        <v>28</v>
      </c>
      <c r="B32" s="32">
        <f>'APÊNDICE II-MEMÓRIA DE CÁLCULO'!B33</f>
        <v>12261</v>
      </c>
      <c r="C32" s="33" t="str">
        <f>'APÊNDICE II-MEMÓRIA DE CÁLCULO'!C33</f>
        <v>-</v>
      </c>
      <c r="D32" s="34" t="str">
        <f>'APÊNDICE II-MEMÓRIA DE CÁLCULO'!D33</f>
        <v>Bolsa para ampola - material: nylon 600, dimensões aproximadas: 45cm x 33cm, características adicionais: revestido com plástico transparente para proteção contra água e sujeiras, portando fitas refletivas na frente e nas costas e diversos bolsos distribuídos na bolsa, padrão SAMU.</v>
      </c>
      <c r="E32" s="33" t="str">
        <f>'APÊNDICE II-MEMÓRIA DE CÁLCULO'!E33</f>
        <v>UNIDADE</v>
      </c>
      <c r="F32" s="35">
        <f>'APÊNDICE II-MEMÓRIA DE CÁLCULO'!L33</f>
        <v>3</v>
      </c>
      <c r="G32" s="63" t="s">
        <v>809</v>
      </c>
      <c r="H32" s="64">
        <v>1</v>
      </c>
      <c r="I32" s="67">
        <v>167.91</v>
      </c>
      <c r="J32" s="56" t="s">
        <v>31</v>
      </c>
      <c r="K32" s="55" t="s">
        <v>31</v>
      </c>
      <c r="L32" s="37" t="s">
        <v>31</v>
      </c>
      <c r="M32" s="63" t="s">
        <v>506</v>
      </c>
      <c r="N32" s="66">
        <v>1</v>
      </c>
      <c r="O32" s="67">
        <v>187.1</v>
      </c>
      <c r="P32" s="68" t="s">
        <v>370</v>
      </c>
      <c r="Q32" s="66">
        <v>1</v>
      </c>
      <c r="R32" s="67">
        <v>124.9</v>
      </c>
      <c r="S32" s="68" t="s">
        <v>371</v>
      </c>
      <c r="T32" s="66">
        <v>1</v>
      </c>
      <c r="U32" s="67">
        <v>140</v>
      </c>
      <c r="V32" s="37">
        <f t="shared" si="3"/>
        <v>24.125122149949902</v>
      </c>
      <c r="W32" s="58">
        <f t="shared" si="4"/>
        <v>0.15566854640157379</v>
      </c>
      <c r="X32" s="23">
        <f>ROUND(SUM(I32*H32,O32*N32,R32*Q32,U32*T32,)/SUM(H32,N32,Q32,T32,),2)</f>
        <v>154.97999999999999</v>
      </c>
      <c r="Y32" s="38">
        <f t="shared" si="0"/>
        <v>464.93999999999994</v>
      </c>
      <c r="Z32" s="6">
        <f t="shared" si="5"/>
        <v>140</v>
      </c>
      <c r="AA32" s="5">
        <f t="shared" si="6"/>
        <v>154.97749999999999</v>
      </c>
      <c r="AB32" s="8">
        <f t="shared" si="7"/>
        <v>24.125122149949902</v>
      </c>
      <c r="AC32" s="7">
        <f t="shared" si="8"/>
        <v>0.15566854640157379</v>
      </c>
      <c r="AD32" s="5">
        <f t="shared" si="1"/>
        <v>130.85237785005009</v>
      </c>
      <c r="AE32" s="5">
        <f t="shared" si="2"/>
        <v>179.10262214994989</v>
      </c>
    </row>
    <row r="33" spans="1:31" ht="111" customHeight="1" x14ac:dyDescent="0.3">
      <c r="A33" s="26">
        <v>29</v>
      </c>
      <c r="B33" s="32">
        <f>'APÊNDICE II-MEMÓRIA DE CÁLCULO'!B34</f>
        <v>12262</v>
      </c>
      <c r="C33" s="33">
        <f>'APÊNDICE II-MEMÓRIA DE CÁLCULO'!C34</f>
        <v>468979</v>
      </c>
      <c r="D33" s="34" t="str">
        <f>'APÊNDICE II-MEMÓRIA DE CÁLCULO'!D34</f>
        <v>Bolsa para equipamentos de sinais vitais - material: nylon, dimensões aproximadas: 10cm de largura, 41cm de comprimento, 28cm de altura.</v>
      </c>
      <c r="E33" s="33" t="str">
        <f>'APÊNDICE II-MEMÓRIA DE CÁLCULO'!E34</f>
        <v>UNIDADE</v>
      </c>
      <c r="F33" s="35">
        <f>'APÊNDICE II-MEMÓRIA DE CÁLCULO'!L34</f>
        <v>3</v>
      </c>
      <c r="G33" s="63" t="s">
        <v>809</v>
      </c>
      <c r="H33" s="64">
        <v>4</v>
      </c>
      <c r="I33" s="67">
        <v>169</v>
      </c>
      <c r="J33" s="73" t="s">
        <v>810</v>
      </c>
      <c r="K33" s="66">
        <v>5</v>
      </c>
      <c r="L33" s="67">
        <v>173.24</v>
      </c>
      <c r="M33" s="63" t="s">
        <v>507</v>
      </c>
      <c r="N33" s="66">
        <v>1</v>
      </c>
      <c r="O33" s="67">
        <v>199.5</v>
      </c>
      <c r="P33" s="68" t="s">
        <v>372</v>
      </c>
      <c r="Q33" s="66">
        <v>1</v>
      </c>
      <c r="R33" s="67">
        <v>175</v>
      </c>
      <c r="S33" s="40" t="s">
        <v>31</v>
      </c>
      <c r="T33" s="40" t="s">
        <v>31</v>
      </c>
      <c r="U33" s="40" t="s">
        <v>31</v>
      </c>
      <c r="V33" s="37">
        <f t="shared" si="3"/>
        <v>11.929906747330424</v>
      </c>
      <c r="W33" s="58">
        <f t="shared" si="4"/>
        <v>6.6578713326062022E-2</v>
      </c>
      <c r="X33" s="23">
        <f>ROUND(SUM(I33*H33,L33*K33,O33*N33,R33*Q33,)/SUM(H33,K33,N33,Q33,),2)</f>
        <v>174.25</v>
      </c>
      <c r="Y33" s="38">
        <f t="shared" si="0"/>
        <v>522.75</v>
      </c>
      <c r="Z33" s="6">
        <f t="shared" si="5"/>
        <v>173.24</v>
      </c>
      <c r="AA33" s="5">
        <f t="shared" si="6"/>
        <v>179.185</v>
      </c>
      <c r="AB33" s="8">
        <f t="shared" si="7"/>
        <v>11.929906747330424</v>
      </c>
      <c r="AC33" s="7">
        <f t="shared" si="8"/>
        <v>6.6578713326062022E-2</v>
      </c>
      <c r="AD33" s="5">
        <f t="shared" si="1"/>
        <v>167.25509325266958</v>
      </c>
      <c r="AE33" s="5">
        <f t="shared" si="2"/>
        <v>191.11490674733042</v>
      </c>
    </row>
    <row r="34" spans="1:31" ht="111" customHeight="1" x14ac:dyDescent="0.3">
      <c r="A34" s="26">
        <v>30</v>
      </c>
      <c r="B34" s="32">
        <f>'APÊNDICE II-MEMÓRIA DE CÁLCULO'!B35</f>
        <v>12263</v>
      </c>
      <c r="C34" s="33">
        <f>'APÊNDICE II-MEMÓRIA DE CÁLCULO'!C35</f>
        <v>484404</v>
      </c>
      <c r="D34" s="34" t="str">
        <f>'APÊNDICE II-MEMÓRIA DE CÁLCULO'!D35</f>
        <v>Bolsa para resgate - material: Nylon, resistente, características adicionais: cor laranja e azul, desenvolvida com tecido resistente e 90% impermeável, com alça de mão, cursores de abertura total e compartimentos nas laterais.</v>
      </c>
      <c r="E34" s="33" t="str">
        <f>'APÊNDICE II-MEMÓRIA DE CÁLCULO'!E35</f>
        <v>UNIDADE</v>
      </c>
      <c r="F34" s="35">
        <f>'APÊNDICE II-MEMÓRIA DE CÁLCULO'!L35</f>
        <v>3</v>
      </c>
      <c r="G34" s="63" t="s">
        <v>809</v>
      </c>
      <c r="H34" s="64">
        <v>7</v>
      </c>
      <c r="I34" s="67">
        <v>323</v>
      </c>
      <c r="J34" s="73" t="s">
        <v>810</v>
      </c>
      <c r="K34" s="66">
        <v>2</v>
      </c>
      <c r="L34" s="67">
        <v>236.85</v>
      </c>
      <c r="M34" s="63" t="s">
        <v>508</v>
      </c>
      <c r="N34" s="66">
        <v>1</v>
      </c>
      <c r="O34" s="67">
        <v>287</v>
      </c>
      <c r="P34" s="68" t="s">
        <v>373</v>
      </c>
      <c r="Q34" s="66">
        <v>1</v>
      </c>
      <c r="R34" s="67">
        <v>332.99</v>
      </c>
      <c r="S34" s="68" t="s">
        <v>374</v>
      </c>
      <c r="T34" s="66">
        <v>1</v>
      </c>
      <c r="U34" s="67">
        <v>370</v>
      </c>
      <c r="V34" s="37">
        <f t="shared" si="3"/>
        <v>45.116421577957738</v>
      </c>
      <c r="W34" s="58">
        <f t="shared" si="4"/>
        <v>0.14555186850887106</v>
      </c>
      <c r="X34" s="23">
        <f t="shared" ref="X34:X42" si="9">ROUND(SUM(I34*H34,L34*K34,O34*N34,R34*Q34,U34*T34,)/SUM(H34,K34,N34,Q34,T34,),2)</f>
        <v>310.39</v>
      </c>
      <c r="Y34" s="38">
        <f t="shared" si="0"/>
        <v>931.17</v>
      </c>
      <c r="Z34" s="6">
        <f t="shared" si="5"/>
        <v>305</v>
      </c>
      <c r="AA34" s="5">
        <f t="shared" si="6"/>
        <v>309.96799999999996</v>
      </c>
      <c r="AB34" s="8">
        <f t="shared" si="7"/>
        <v>45.116421577957738</v>
      </c>
      <c r="AC34" s="7">
        <f t="shared" si="8"/>
        <v>0.14555186850887106</v>
      </c>
      <c r="AD34" s="5">
        <f t="shared" si="1"/>
        <v>264.85157842204222</v>
      </c>
      <c r="AE34" s="5">
        <f t="shared" si="2"/>
        <v>355.0844215779577</v>
      </c>
    </row>
    <row r="35" spans="1:31" ht="111" customHeight="1" x14ac:dyDescent="0.3">
      <c r="A35" s="26">
        <v>31</v>
      </c>
      <c r="B35" s="32">
        <f>'APÊNDICE II-MEMÓRIA DE CÁLCULO'!B36</f>
        <v>12264</v>
      </c>
      <c r="C35" s="33">
        <f>'APÊNDICE II-MEMÓRIA DE CÁLCULO'!C36</f>
        <v>400781</v>
      </c>
      <c r="D35" s="34" t="str">
        <f>'APÊNDICE II-MEMÓRIA DE CÁLCULO'!D36</f>
        <v>Cadeira de rodas - com assento e encosto em nylon, dobrável em x, com apoio para os braços e os pés, rodas traseiras tipo: aro 24" com pneus de borracha maciço e aro da roda fabricado em  alumínio, aro impulsor acoplado, rodas dianteira tamanho:6" maciços , freios bilaterais, Com capacidade máxima de 120KG</v>
      </c>
      <c r="E35" s="33" t="str">
        <f>'APÊNDICE II-MEMÓRIA DE CÁLCULO'!E36</f>
        <v>UNIDADE</v>
      </c>
      <c r="F35" s="35">
        <f>'APÊNDICE II-MEMÓRIA DE CÁLCULO'!L36</f>
        <v>3</v>
      </c>
      <c r="G35" s="63" t="s">
        <v>809</v>
      </c>
      <c r="H35" s="64">
        <v>5</v>
      </c>
      <c r="I35" s="74">
        <v>1864.5</v>
      </c>
      <c r="J35" s="73" t="s">
        <v>810</v>
      </c>
      <c r="K35" s="66">
        <v>10</v>
      </c>
      <c r="L35" s="67">
        <v>1870.9</v>
      </c>
      <c r="M35" s="63" t="s">
        <v>509</v>
      </c>
      <c r="N35" s="66">
        <v>1</v>
      </c>
      <c r="O35" s="67">
        <v>1020</v>
      </c>
      <c r="P35" s="68" t="s">
        <v>923</v>
      </c>
      <c r="Q35" s="66">
        <v>1</v>
      </c>
      <c r="R35" s="67">
        <v>1319</v>
      </c>
      <c r="S35" s="68" t="s">
        <v>376</v>
      </c>
      <c r="T35" s="66">
        <v>1</v>
      </c>
      <c r="U35" s="67">
        <v>2014</v>
      </c>
      <c r="V35" s="37">
        <f t="shared" si="3"/>
        <v>381.71747353245445</v>
      </c>
      <c r="W35" s="58">
        <f t="shared" si="4"/>
        <v>0.2359659966943119</v>
      </c>
      <c r="X35" s="23">
        <f t="shared" si="9"/>
        <v>1799.14</v>
      </c>
      <c r="Y35" s="38">
        <f t="shared" si="0"/>
        <v>5397.42</v>
      </c>
      <c r="Z35" s="6">
        <f t="shared" si="5"/>
        <v>1591.75</v>
      </c>
      <c r="AA35" s="5">
        <f t="shared" si="6"/>
        <v>1617.6799999999998</v>
      </c>
      <c r="AB35" s="8">
        <f t="shared" si="7"/>
        <v>381.71747353245445</v>
      </c>
      <c r="AC35" s="7">
        <f t="shared" si="8"/>
        <v>0.2359659966943119</v>
      </c>
      <c r="AD35" s="5">
        <f t="shared" si="1"/>
        <v>1235.9625264675453</v>
      </c>
      <c r="AE35" s="5">
        <f t="shared" si="2"/>
        <v>1999.3974735324543</v>
      </c>
    </row>
    <row r="36" spans="1:31" ht="111" customHeight="1" x14ac:dyDescent="0.3">
      <c r="A36" s="26">
        <v>32</v>
      </c>
      <c r="B36" s="32">
        <f>'APÊNDICE II-MEMÓRIA DE CÁLCULO'!B37</f>
        <v>12265</v>
      </c>
      <c r="C36" s="33">
        <f>'APÊNDICE II-MEMÓRIA DE CÁLCULO'!C37</f>
        <v>401291</v>
      </c>
      <c r="D36" s="34" t="str">
        <f>'APÊNDICE II-MEMÓRIA DE CÁLCULO'!D37</f>
        <v xml:space="preserve">Colchão pneumático inflável - com capacidade de até 135Kg, com compressor de Ar 220v, material: pvc, medidas aproximadas: 1,84 x 0,90 cm, -Impermeável. </v>
      </c>
      <c r="E36" s="33" t="str">
        <f>'APÊNDICE II-MEMÓRIA DE CÁLCULO'!E37</f>
        <v>UNIDADE</v>
      </c>
      <c r="F36" s="35">
        <f>'APÊNDICE II-MEMÓRIA DE CÁLCULO'!L37</f>
        <v>24</v>
      </c>
      <c r="G36" s="63" t="s">
        <v>809</v>
      </c>
      <c r="H36" s="64">
        <v>1</v>
      </c>
      <c r="I36" s="67">
        <v>241.33</v>
      </c>
      <c r="J36" s="73" t="s">
        <v>810</v>
      </c>
      <c r="K36" s="66">
        <v>3</v>
      </c>
      <c r="L36" s="67">
        <v>233.75</v>
      </c>
      <c r="M36" s="63" t="s">
        <v>495</v>
      </c>
      <c r="N36" s="66">
        <v>1</v>
      </c>
      <c r="O36" s="67">
        <v>222.45</v>
      </c>
      <c r="P36" s="68" t="s">
        <v>377</v>
      </c>
      <c r="Q36" s="66">
        <v>1</v>
      </c>
      <c r="R36" s="67">
        <v>239.9</v>
      </c>
      <c r="S36" s="68" t="s">
        <v>378</v>
      </c>
      <c r="T36" s="66">
        <v>1</v>
      </c>
      <c r="U36" s="67">
        <v>246.9</v>
      </c>
      <c r="V36" s="37">
        <f t="shared" si="3"/>
        <v>8.3347959783068557</v>
      </c>
      <c r="W36" s="58">
        <f t="shared" si="4"/>
        <v>3.5187810738167812E-2</v>
      </c>
      <c r="X36" s="23">
        <f t="shared" si="9"/>
        <v>235.98</v>
      </c>
      <c r="Y36" s="38">
        <f t="shared" si="0"/>
        <v>5663.5199999999995</v>
      </c>
      <c r="Z36" s="6">
        <f t="shared" si="5"/>
        <v>236.82499999999999</v>
      </c>
      <c r="AA36" s="5">
        <f t="shared" si="6"/>
        <v>236.86599999999999</v>
      </c>
      <c r="AB36" s="8">
        <f t="shared" si="7"/>
        <v>8.3347959783068557</v>
      </c>
      <c r="AC36" s="7">
        <f t="shared" si="8"/>
        <v>3.5187810738167812E-2</v>
      </c>
      <c r="AD36" s="5">
        <f t="shared" si="1"/>
        <v>228.53120402169313</v>
      </c>
      <c r="AE36" s="5">
        <f t="shared" si="2"/>
        <v>245.20079597830684</v>
      </c>
    </row>
    <row r="37" spans="1:31" ht="111" customHeight="1" x14ac:dyDescent="0.3">
      <c r="A37" s="26">
        <v>33</v>
      </c>
      <c r="B37" s="32">
        <f>'APÊNDICE II-MEMÓRIA DE CÁLCULO'!B38</f>
        <v>12266</v>
      </c>
      <c r="C37" s="33">
        <f>'APÊNDICE II-MEMÓRIA DE CÁLCULO'!C38</f>
        <v>443022</v>
      </c>
      <c r="D37" s="34" t="str">
        <f>'APÊNDICE II-MEMÓRIA DE CÁLCULO'!D38</f>
        <v>Compressa hospitalar - tipo: cirúrgica, material: 100% algodão, dimensões: cerca de 45x50cm, com cordão identificador, esterilidade: uso único, pacote com 50 unidades.</v>
      </c>
      <c r="E37" s="33" t="str">
        <f>'APÊNDICE II-MEMÓRIA DE CÁLCULO'!E38</f>
        <v>PACOTE</v>
      </c>
      <c r="F37" s="35">
        <f>'APÊNDICE II-MEMÓRIA DE CÁLCULO'!L38</f>
        <v>246</v>
      </c>
      <c r="G37" s="63" t="s">
        <v>809</v>
      </c>
      <c r="H37" s="64">
        <v>19</v>
      </c>
      <c r="I37" s="67">
        <v>58.14</v>
      </c>
      <c r="J37" s="73" t="s">
        <v>810</v>
      </c>
      <c r="K37" s="66">
        <v>1</v>
      </c>
      <c r="L37" s="67">
        <v>54</v>
      </c>
      <c r="M37" s="63" t="s">
        <v>421</v>
      </c>
      <c r="N37" s="66">
        <v>1</v>
      </c>
      <c r="O37" s="67">
        <v>51.8</v>
      </c>
      <c r="P37" s="68" t="s">
        <v>748</v>
      </c>
      <c r="Q37" s="66">
        <v>1</v>
      </c>
      <c r="R37" s="67">
        <v>88</v>
      </c>
      <c r="S37" s="68" t="s">
        <v>683</v>
      </c>
      <c r="T37" s="66">
        <v>1</v>
      </c>
      <c r="U37" s="67">
        <v>77.2</v>
      </c>
      <c r="V37" s="37">
        <f t="shared" si="3"/>
        <v>14.259815426575491</v>
      </c>
      <c r="W37" s="58">
        <f t="shared" si="4"/>
        <v>0.21662234044138498</v>
      </c>
      <c r="X37" s="23">
        <f t="shared" si="9"/>
        <v>59.81</v>
      </c>
      <c r="Y37" s="38">
        <f t="shared" si="0"/>
        <v>14713.26</v>
      </c>
      <c r="Z37" s="6">
        <f t="shared" si="5"/>
        <v>56.07</v>
      </c>
      <c r="AA37" s="5">
        <f t="shared" si="6"/>
        <v>65.828000000000003</v>
      </c>
      <c r="AB37" s="8">
        <f t="shared" si="7"/>
        <v>14.259815426575491</v>
      </c>
      <c r="AC37" s="7">
        <f t="shared" si="8"/>
        <v>0.21662234044138498</v>
      </c>
      <c r="AD37" s="5">
        <f t="shared" si="1"/>
        <v>51.56818457342451</v>
      </c>
      <c r="AE37" s="5">
        <f t="shared" si="2"/>
        <v>80.087815426575489</v>
      </c>
    </row>
    <row r="38" spans="1:31" ht="111" customHeight="1" x14ac:dyDescent="0.3">
      <c r="A38" s="26">
        <v>34</v>
      </c>
      <c r="B38" s="32">
        <f>'APÊNDICE II-MEMÓRIA DE CÁLCULO'!B39</f>
        <v>12267</v>
      </c>
      <c r="C38" s="33" t="str">
        <f>'APÊNDICE II-MEMÓRIA DE CÁLCULO'!C39</f>
        <v>-</v>
      </c>
      <c r="D38" s="34" t="str">
        <f>'APÊNDICE II-MEMÓRIA DE CÁLCULO'!D39</f>
        <v xml:space="preserve">Conjunto de cintos para pranchas - medidas: aproximadamente 1,50 de comprimento e 5 cm de largura, material:  nylon características adicionais: contendo 3 tirantes para fixação na prancha de resgate, com fechos ajustáveis de engate rápido. </v>
      </c>
      <c r="E38" s="33" t="str">
        <f>'APÊNDICE II-MEMÓRIA DE CÁLCULO'!E39</f>
        <v>CONJUNTO</v>
      </c>
      <c r="F38" s="35">
        <f>'APÊNDICE II-MEMÓRIA DE CÁLCULO'!L39</f>
        <v>50</v>
      </c>
      <c r="G38" s="63" t="s">
        <v>809</v>
      </c>
      <c r="H38" s="64">
        <v>3</v>
      </c>
      <c r="I38" s="67">
        <v>36.57</v>
      </c>
      <c r="J38" s="73" t="s">
        <v>810</v>
      </c>
      <c r="K38" s="66">
        <v>1</v>
      </c>
      <c r="L38" s="67">
        <v>35.520000000000003</v>
      </c>
      <c r="M38" s="63" t="s">
        <v>415</v>
      </c>
      <c r="N38" s="66">
        <v>1</v>
      </c>
      <c r="O38" s="67">
        <v>34.54</v>
      </c>
      <c r="P38" s="68" t="s">
        <v>818</v>
      </c>
      <c r="Q38" s="66">
        <v>1</v>
      </c>
      <c r="R38" s="67">
        <v>23.9</v>
      </c>
      <c r="S38" s="68" t="s">
        <v>709</v>
      </c>
      <c r="T38" s="66">
        <v>1</v>
      </c>
      <c r="U38" s="67">
        <v>25.4</v>
      </c>
      <c r="V38" s="37">
        <f t="shared" si="3"/>
        <v>5.3959970348397981</v>
      </c>
      <c r="W38" s="58">
        <f t="shared" si="4"/>
        <v>0.17302626290129539</v>
      </c>
      <c r="X38" s="23">
        <f t="shared" si="9"/>
        <v>32.72</v>
      </c>
      <c r="Y38" s="38">
        <f t="shared" si="0"/>
        <v>1636</v>
      </c>
      <c r="Z38" s="6">
        <f t="shared" si="5"/>
        <v>29.97</v>
      </c>
      <c r="AA38" s="5">
        <f t="shared" si="6"/>
        <v>31.186</v>
      </c>
      <c r="AB38" s="8">
        <f t="shared" si="7"/>
        <v>5.3959970348397981</v>
      </c>
      <c r="AC38" s="7">
        <f t="shared" si="8"/>
        <v>0.17302626290129539</v>
      </c>
      <c r="AD38" s="5">
        <f t="shared" si="1"/>
        <v>25.790002965160202</v>
      </c>
      <c r="AE38" s="5">
        <f t="shared" si="2"/>
        <v>36.581997034839802</v>
      </c>
    </row>
    <row r="39" spans="1:31" ht="111" customHeight="1" x14ac:dyDescent="0.3">
      <c r="A39" s="26">
        <v>35</v>
      </c>
      <c r="B39" s="32">
        <f>'APÊNDICE II-MEMÓRIA DE CÁLCULO'!B40</f>
        <v>12268</v>
      </c>
      <c r="C39" s="33">
        <f>'APÊNDICE II-MEMÓRIA DE CÁLCULO'!C40</f>
        <v>269876</v>
      </c>
      <c r="D39" s="34" t="str">
        <f>'APÊNDICE II-MEMÓRIA DE CÁLCULO'!D40</f>
        <v xml:space="preserve">Clorexidina Digluconato - aplicação: solução degermante, dosagem: 2%, capacidade: frasco com 1 litro, características adicionais: antisséptico degermante a base de clorexidina, concentrado de 2,0% associado a tensoativo, acondicionada em recipiente de plástico adaptável a suporte próprio para dispensação asséptica. Embalagem contendo externamente dados de identificação e procedência, lote, prazo de validade e registro em órgão competente. </v>
      </c>
      <c r="E39" s="33" t="str">
        <f>'APÊNDICE II-MEMÓRIA DE CÁLCULO'!E40</f>
        <v>FRASCO</v>
      </c>
      <c r="F39" s="35">
        <f>'APÊNDICE II-MEMÓRIA DE CÁLCULO'!L40</f>
        <v>228</v>
      </c>
      <c r="G39" s="63" t="s">
        <v>809</v>
      </c>
      <c r="H39" s="64">
        <v>3</v>
      </c>
      <c r="I39" s="67">
        <v>33.200000000000003</v>
      </c>
      <c r="J39" s="73" t="s">
        <v>810</v>
      </c>
      <c r="K39" s="66">
        <v>1</v>
      </c>
      <c r="L39" s="67">
        <v>28.9</v>
      </c>
      <c r="M39" s="63" t="s">
        <v>630</v>
      </c>
      <c r="N39" s="66">
        <v>1</v>
      </c>
      <c r="O39" s="67">
        <v>17.899999999999999</v>
      </c>
      <c r="P39" s="68" t="s">
        <v>819</v>
      </c>
      <c r="Q39" s="66">
        <v>1</v>
      </c>
      <c r="R39" s="67">
        <v>27.9</v>
      </c>
      <c r="S39" s="68" t="s">
        <v>771</v>
      </c>
      <c r="T39" s="66">
        <v>1</v>
      </c>
      <c r="U39" s="67">
        <v>24.9</v>
      </c>
      <c r="V39" s="37">
        <f t="shared" si="3"/>
        <v>5.0815745591302468</v>
      </c>
      <c r="W39" s="58">
        <f t="shared" si="4"/>
        <v>0.19132434334074722</v>
      </c>
      <c r="X39" s="23">
        <f t="shared" si="9"/>
        <v>28.46</v>
      </c>
      <c r="Y39" s="38">
        <f t="shared" si="0"/>
        <v>6488.88</v>
      </c>
      <c r="Z39" s="6">
        <f t="shared" si="5"/>
        <v>26.4</v>
      </c>
      <c r="AA39" s="5">
        <f t="shared" si="6"/>
        <v>26.560000000000002</v>
      </c>
      <c r="AB39" s="8">
        <f t="shared" si="7"/>
        <v>5.0815745591302468</v>
      </c>
      <c r="AC39" s="7">
        <f t="shared" si="8"/>
        <v>0.19132434334074722</v>
      </c>
      <c r="AD39" s="5">
        <f t="shared" si="1"/>
        <v>21.478425440869756</v>
      </c>
      <c r="AE39" s="5">
        <f t="shared" si="2"/>
        <v>31.641574559130248</v>
      </c>
    </row>
    <row r="40" spans="1:31" ht="111" customHeight="1" x14ac:dyDescent="0.3">
      <c r="A40" s="26">
        <v>36</v>
      </c>
      <c r="B40" s="32">
        <f>'APÊNDICE II-MEMÓRIA DE CÁLCULO'!B41</f>
        <v>12269</v>
      </c>
      <c r="C40" s="33">
        <f>'APÊNDICE II-MEMÓRIA DE CÁLCULO'!C41</f>
        <v>269881</v>
      </c>
      <c r="D40" s="34" t="str">
        <f>'APÊNDICE II-MEMÓRIA DE CÁLCULO'!D41</f>
        <v>Clorexidina Digluconato - aplicação: solução tópica aquosa, dosagem: 0,2 %, capacidade: frasco com 1 litro, antisséptico a base de clorexidina, concentrado de 0,2% associado a tensoativo, acondicionada em recipiente de plástico adaptável a suporte próprio para dispensação asséptica. Embalagem contendo externamente dados de identificação e procedência, lote, prazo de validade e registro em órgão competente.</v>
      </c>
      <c r="E40" s="33" t="str">
        <f>'APÊNDICE II-MEMÓRIA DE CÁLCULO'!E41</f>
        <v>FRASCO</v>
      </c>
      <c r="F40" s="35">
        <f>'APÊNDICE II-MEMÓRIA DE CÁLCULO'!L41</f>
        <v>60</v>
      </c>
      <c r="G40" s="63" t="s">
        <v>809</v>
      </c>
      <c r="H40" s="64">
        <v>1</v>
      </c>
      <c r="I40" s="67">
        <v>7.9</v>
      </c>
      <c r="J40" s="73" t="s">
        <v>810</v>
      </c>
      <c r="K40" s="66">
        <v>4</v>
      </c>
      <c r="L40" s="67">
        <v>11.8</v>
      </c>
      <c r="M40" s="63" t="s">
        <v>631</v>
      </c>
      <c r="N40" s="66">
        <v>1</v>
      </c>
      <c r="O40" s="67">
        <v>17</v>
      </c>
      <c r="P40" s="68" t="s">
        <v>379</v>
      </c>
      <c r="Q40" s="66">
        <v>1</v>
      </c>
      <c r="R40" s="67">
        <v>8.6999999999999993</v>
      </c>
      <c r="S40" s="68" t="s">
        <v>380</v>
      </c>
      <c r="T40" s="66">
        <v>1</v>
      </c>
      <c r="U40" s="67">
        <v>10.61</v>
      </c>
      <c r="V40" s="37">
        <f t="shared" si="3"/>
        <v>3.2089898722183645</v>
      </c>
      <c r="W40" s="58">
        <f t="shared" si="4"/>
        <v>0.28646579826980584</v>
      </c>
      <c r="X40" s="23">
        <f t="shared" si="9"/>
        <v>11.43</v>
      </c>
      <c r="Y40" s="38">
        <f t="shared" si="0"/>
        <v>685.8</v>
      </c>
      <c r="Z40" s="6">
        <f t="shared" si="5"/>
        <v>9.6549999999999994</v>
      </c>
      <c r="AA40" s="5">
        <f t="shared" si="6"/>
        <v>11.201999999999998</v>
      </c>
      <c r="AB40" s="8">
        <f t="shared" si="7"/>
        <v>3.2089898722183645</v>
      </c>
      <c r="AC40" s="7">
        <f t="shared" si="8"/>
        <v>0.28646579826980584</v>
      </c>
      <c r="AD40" s="5">
        <f t="shared" si="1"/>
        <v>7.9930101277816341</v>
      </c>
      <c r="AE40" s="5">
        <f t="shared" si="2"/>
        <v>14.410989872218362</v>
      </c>
    </row>
    <row r="41" spans="1:31" ht="111" customHeight="1" x14ac:dyDescent="0.3">
      <c r="A41" s="26">
        <v>37</v>
      </c>
      <c r="B41" s="32">
        <f>'APÊNDICE II-MEMÓRIA DE CÁLCULO'!B42</f>
        <v>12270</v>
      </c>
      <c r="C41" s="33">
        <f>'APÊNDICE II-MEMÓRIA DE CÁLCULO'!C42</f>
        <v>269878</v>
      </c>
      <c r="D41" s="34" t="str">
        <f>'APÊNDICE II-MEMÓRIA DE CÁLCULO'!D42</f>
        <v>Clorexidina Digluconato - aplicação: solução alcoólica, dosagem: 0,5%, capacidade: frasco com 1 litro, antisséptico a base de clorexidina, concentrado de 0,5% associado a tensoativo, acondicionada em recipiente de plástico adaptável a suporte próprio para dispensação asséptica. Embalagem contendo externamente dados de identificação e procedência, lote, prazo de validade e registro em órgão competente.</v>
      </c>
      <c r="E41" s="33" t="str">
        <f>'APÊNDICE II-MEMÓRIA DE CÁLCULO'!E42</f>
        <v>FRASCO</v>
      </c>
      <c r="F41" s="35">
        <f>'APÊNDICE II-MEMÓRIA DE CÁLCULO'!L42</f>
        <v>90</v>
      </c>
      <c r="G41" s="63" t="s">
        <v>809</v>
      </c>
      <c r="H41" s="64">
        <v>6</v>
      </c>
      <c r="I41" s="67">
        <v>24.98</v>
      </c>
      <c r="J41" s="73" t="s">
        <v>810</v>
      </c>
      <c r="K41" s="66">
        <v>3</v>
      </c>
      <c r="L41" s="67">
        <v>14.31</v>
      </c>
      <c r="M41" s="63" t="s">
        <v>951</v>
      </c>
      <c r="N41" s="66">
        <v>1</v>
      </c>
      <c r="O41" s="67">
        <v>18.8</v>
      </c>
      <c r="P41" s="68" t="s">
        <v>354</v>
      </c>
      <c r="Q41" s="66">
        <v>1</v>
      </c>
      <c r="R41" s="67">
        <v>24.61</v>
      </c>
      <c r="S41" s="68" t="s">
        <v>348</v>
      </c>
      <c r="T41" s="66">
        <v>1</v>
      </c>
      <c r="U41" s="67">
        <v>27.9</v>
      </c>
      <c r="V41" s="37">
        <f t="shared" si="3"/>
        <v>4.895030132695819</v>
      </c>
      <c r="W41" s="58">
        <f t="shared" si="4"/>
        <v>0.22129430979637521</v>
      </c>
      <c r="X41" s="23">
        <f t="shared" si="9"/>
        <v>22.01</v>
      </c>
      <c r="Y41" s="38">
        <f t="shared" si="0"/>
        <v>1980.9</v>
      </c>
      <c r="Z41" s="6">
        <f t="shared" si="5"/>
        <v>21.704999999999998</v>
      </c>
      <c r="AA41" s="5">
        <f t="shared" si="6"/>
        <v>22.119999999999997</v>
      </c>
      <c r="AB41" s="8">
        <f t="shared" si="7"/>
        <v>4.895030132695819</v>
      </c>
      <c r="AC41" s="7">
        <f t="shared" si="8"/>
        <v>0.22129430979637521</v>
      </c>
      <c r="AD41" s="5">
        <f t="shared" si="1"/>
        <v>17.224969867304178</v>
      </c>
      <c r="AE41" s="5">
        <f t="shared" si="2"/>
        <v>27.015030132695816</v>
      </c>
    </row>
    <row r="42" spans="1:31" ht="180.75" customHeight="1" x14ac:dyDescent="0.3">
      <c r="A42" s="26">
        <v>38</v>
      </c>
      <c r="B42" s="32">
        <f>'APÊNDICE II-MEMÓRIA DE CÁLCULO'!B43</f>
        <v>12271</v>
      </c>
      <c r="C42" s="33" t="str">
        <f>'APÊNDICE II-MEMÓRIA DE CÁLCULO'!C43</f>
        <v>-</v>
      </c>
      <c r="D42" s="34" t="str">
        <f>'APÊNDICE II-MEMÓRIA DE CÁLCULO'!D43</f>
        <v>Cateter central duplo lúmen - Aplicação: para acesso vascular central tamanho: 7 FR X 20 CM , em poliuretano com lumens internos 14 G /8 G e capacidade de fluxo de 4150 ML/H no lúmen distal e 1030 ML/H no lúmen proximal , marcações de comprimento com divisões em centímetros no corpo do cateter , ponta atraumática e flexível e pinça corta fluxo nas extensões, contendo: dilatador de vasos; guia metálica 0,035x 60 cm com ponta no formato de “j” com avançador anatômico, seringa 5 ml; agulha introdutora 18 g x 70 mm; tampa protetora com membrana auto cicatrizante, clamp de fixação móvel para o cateter, uso: agulha punção,dilatador.</v>
      </c>
      <c r="E42" s="33" t="str">
        <f>'APÊNDICE II-MEMÓRIA DE CÁLCULO'!E43</f>
        <v>UNIDADE</v>
      </c>
      <c r="F42" s="35">
        <f>'APÊNDICE II-MEMÓRIA DE CÁLCULO'!L43</f>
        <v>100</v>
      </c>
      <c r="G42" s="63" t="s">
        <v>809</v>
      </c>
      <c r="H42" s="64">
        <v>2</v>
      </c>
      <c r="I42" s="67">
        <v>46.8</v>
      </c>
      <c r="J42" s="73" t="s">
        <v>810</v>
      </c>
      <c r="K42" s="66">
        <v>1</v>
      </c>
      <c r="L42" s="67">
        <v>58.99</v>
      </c>
      <c r="M42" s="63" t="s">
        <v>676</v>
      </c>
      <c r="N42" s="66">
        <v>1</v>
      </c>
      <c r="O42" s="67">
        <v>54.99</v>
      </c>
      <c r="P42" s="68" t="s">
        <v>820</v>
      </c>
      <c r="Q42" s="66">
        <v>1</v>
      </c>
      <c r="R42" s="67">
        <v>88.6</v>
      </c>
      <c r="S42" s="68" t="s">
        <v>355</v>
      </c>
      <c r="T42" s="66">
        <v>1</v>
      </c>
      <c r="U42" s="67">
        <v>69.900000000000006</v>
      </c>
      <c r="V42" s="37">
        <f t="shared" si="3"/>
        <v>14.435972568552531</v>
      </c>
      <c r="W42" s="58">
        <f t="shared" si="4"/>
        <v>0.2260707305273198</v>
      </c>
      <c r="X42" s="23">
        <f t="shared" si="9"/>
        <v>61.01</v>
      </c>
      <c r="Y42" s="38">
        <f t="shared" si="0"/>
        <v>6101</v>
      </c>
      <c r="Z42" s="6">
        <f t="shared" si="5"/>
        <v>56.99</v>
      </c>
      <c r="AA42" s="5">
        <f t="shared" si="6"/>
        <v>63.855999999999995</v>
      </c>
      <c r="AB42" s="8">
        <f t="shared" si="7"/>
        <v>14.435972568552531</v>
      </c>
      <c r="AC42" s="7">
        <f t="shared" si="8"/>
        <v>0.2260707305273198</v>
      </c>
      <c r="AD42" s="5">
        <f t="shared" si="1"/>
        <v>49.420027431447465</v>
      </c>
      <c r="AE42" s="5">
        <f t="shared" si="2"/>
        <v>78.291972568552524</v>
      </c>
    </row>
    <row r="43" spans="1:31" ht="180.75" customHeight="1" x14ac:dyDescent="0.3">
      <c r="A43" s="26">
        <v>39</v>
      </c>
      <c r="B43" s="32">
        <f>'APÊNDICE II-MEMÓRIA DE CÁLCULO'!B44</f>
        <v>12272</v>
      </c>
      <c r="C43" s="33">
        <f>'APÊNDICE II-MEMÓRIA DE CÁLCULO'!C44</f>
        <v>437175</v>
      </c>
      <c r="D43" s="34" t="str">
        <f>'APÊNDICE II-MEMÓRIA DE CÁLCULO'!D44</f>
        <v>Cateter para venopunção nº 14 G - com dispositivo de segurança atendendo a norma NR 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3" s="33" t="str">
        <f>'APÊNDICE II-MEMÓRIA DE CÁLCULO'!E44</f>
        <v>UNIDADE</v>
      </c>
      <c r="F43" s="35">
        <f>'APÊNDICE II-MEMÓRIA DE CÁLCULO'!L44</f>
        <v>1200</v>
      </c>
      <c r="G43" s="63" t="s">
        <v>809</v>
      </c>
      <c r="H43" s="64">
        <v>4</v>
      </c>
      <c r="I43" s="65">
        <v>1.05</v>
      </c>
      <c r="J43" s="73" t="s">
        <v>810</v>
      </c>
      <c r="K43" s="64">
        <v>9</v>
      </c>
      <c r="L43" s="65">
        <v>1.49</v>
      </c>
      <c r="M43" s="63" t="s">
        <v>952</v>
      </c>
      <c r="N43" s="66">
        <v>1</v>
      </c>
      <c r="O43" s="67">
        <v>0.85</v>
      </c>
      <c r="P43" s="68" t="s">
        <v>343</v>
      </c>
      <c r="Q43" s="66">
        <v>1</v>
      </c>
      <c r="R43" s="67">
        <v>1.07</v>
      </c>
      <c r="S43" s="68" t="s">
        <v>351</v>
      </c>
      <c r="T43" s="66">
        <v>1</v>
      </c>
      <c r="U43" s="67">
        <v>1.0900000000000001</v>
      </c>
      <c r="V43" s="37">
        <f t="shared" si="3"/>
        <v>0.20861447696648486</v>
      </c>
      <c r="W43" s="58">
        <f t="shared" si="4"/>
        <v>0.18794097024007647</v>
      </c>
      <c r="X43" s="23">
        <f t="shared" ref="X43" si="10">ROUND(SUM(I43*H43,L43*K43,O43*N43,R43*Q43,U43*T43,)/SUM(H43,K43,N43,Q43,T43,),2)</f>
        <v>1.29</v>
      </c>
      <c r="Y43" s="38">
        <f t="shared" si="0"/>
        <v>1548</v>
      </c>
      <c r="Z43" s="6">
        <f t="shared" si="5"/>
        <v>1.06</v>
      </c>
      <c r="AA43" s="5">
        <f t="shared" si="6"/>
        <v>1.1099999999999999</v>
      </c>
      <c r="AB43" s="8">
        <f t="shared" si="7"/>
        <v>0.20861447696648486</v>
      </c>
      <c r="AC43" s="7">
        <f t="shared" si="8"/>
        <v>0.18794097024007647</v>
      </c>
      <c r="AD43" s="5">
        <f t="shared" si="1"/>
        <v>0.90138552303351505</v>
      </c>
      <c r="AE43" s="5">
        <f t="shared" si="2"/>
        <v>1.3186144769664847</v>
      </c>
    </row>
    <row r="44" spans="1:31" ht="180.75" customHeight="1" x14ac:dyDescent="0.3">
      <c r="A44" s="26">
        <v>40</v>
      </c>
      <c r="B44" s="32">
        <f>'APÊNDICE II-MEMÓRIA DE CÁLCULO'!B45</f>
        <v>12273</v>
      </c>
      <c r="C44" s="33">
        <f>'APÊNDICE II-MEMÓRIA DE CÁLCULO'!C45</f>
        <v>437176</v>
      </c>
      <c r="D44" s="34" t="str">
        <f>'APÊNDICE II-MEMÓRIA DE CÁLCULO'!D45</f>
        <v>Cateter para venopunção nº 16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4" s="33" t="str">
        <f>'APÊNDICE II-MEMÓRIA DE CÁLCULO'!E45</f>
        <v>UNIDADE</v>
      </c>
      <c r="F44" s="35">
        <f>'APÊNDICE II-MEMÓRIA DE CÁLCULO'!L45</f>
        <v>252</v>
      </c>
      <c r="G44" s="63" t="s">
        <v>809</v>
      </c>
      <c r="H44" s="64">
        <v>5</v>
      </c>
      <c r="I44" s="65">
        <v>1.1000000000000001</v>
      </c>
      <c r="J44" s="73" t="s">
        <v>810</v>
      </c>
      <c r="K44" s="64">
        <v>8</v>
      </c>
      <c r="L44" s="65">
        <v>1.34</v>
      </c>
      <c r="M44" s="63" t="s">
        <v>953</v>
      </c>
      <c r="N44" s="66">
        <v>1</v>
      </c>
      <c r="O44" s="67">
        <v>0.9</v>
      </c>
      <c r="P44" s="68" t="s">
        <v>343</v>
      </c>
      <c r="Q44" s="66">
        <v>1</v>
      </c>
      <c r="R44" s="67">
        <v>1.07</v>
      </c>
      <c r="S44" s="68" t="s">
        <v>382</v>
      </c>
      <c r="T44" s="66">
        <v>1</v>
      </c>
      <c r="U44" s="67">
        <v>1.19</v>
      </c>
      <c r="V44" s="37">
        <f t="shared" si="3"/>
        <v>0.14463747785411729</v>
      </c>
      <c r="W44" s="58">
        <f t="shared" si="4"/>
        <v>0.12914060522689044</v>
      </c>
      <c r="X44" s="23">
        <f>ROUND(SUM(I44*H44,L44*K44,O44*N44,R44*Q44,U44*T44,)/SUM(H44,K44,N44,Q44,T44,),2)</f>
        <v>1.21</v>
      </c>
      <c r="Y44" s="38">
        <f t="shared" si="0"/>
        <v>304.92</v>
      </c>
      <c r="Z44" s="6">
        <f t="shared" si="5"/>
        <v>1.085</v>
      </c>
      <c r="AA44" s="5">
        <f t="shared" si="6"/>
        <v>1.1199999999999999</v>
      </c>
      <c r="AB44" s="8">
        <f t="shared" si="7"/>
        <v>0.14463747785411729</v>
      </c>
      <c r="AC44" s="7">
        <f t="shared" si="8"/>
        <v>0.12914060522689044</v>
      </c>
      <c r="AD44" s="5">
        <f t="shared" si="1"/>
        <v>0.97536252214588259</v>
      </c>
      <c r="AE44" s="5">
        <f t="shared" si="2"/>
        <v>1.2646374778541172</v>
      </c>
    </row>
    <row r="45" spans="1:31" ht="180.75" customHeight="1" x14ac:dyDescent="0.3">
      <c r="A45" s="26">
        <v>41</v>
      </c>
      <c r="B45" s="32">
        <f>'APÊNDICE II-MEMÓRIA DE CÁLCULO'!B46</f>
        <v>12274</v>
      </c>
      <c r="C45" s="33">
        <f>'APÊNDICE II-MEMÓRIA DE CÁLCULO'!C46</f>
        <v>437177</v>
      </c>
      <c r="D45" s="34" t="str">
        <f>'APÊNDICE II-MEMÓRIA DE CÁLCULO'!D46</f>
        <v>Cateter  para venopunção nº 18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5" s="33" t="str">
        <f>'APÊNDICE II-MEMÓRIA DE CÁLCULO'!E46</f>
        <v>UNIDADE</v>
      </c>
      <c r="F45" s="35">
        <f>'APÊNDICE II-MEMÓRIA DE CÁLCULO'!L46</f>
        <v>2400</v>
      </c>
      <c r="G45" s="63" t="s">
        <v>809</v>
      </c>
      <c r="H45" s="64">
        <v>14</v>
      </c>
      <c r="I45" s="67">
        <v>1.55</v>
      </c>
      <c r="J45" s="73" t="s">
        <v>810</v>
      </c>
      <c r="K45" s="66">
        <v>2</v>
      </c>
      <c r="L45" s="67">
        <v>1.37</v>
      </c>
      <c r="M45" s="63" t="s">
        <v>950</v>
      </c>
      <c r="N45" s="66">
        <v>1</v>
      </c>
      <c r="O45" s="67">
        <v>0.88</v>
      </c>
      <c r="P45" s="68" t="s">
        <v>349</v>
      </c>
      <c r="Q45" s="66">
        <v>1</v>
      </c>
      <c r="R45" s="67">
        <v>1</v>
      </c>
      <c r="S45" s="68" t="s">
        <v>383</v>
      </c>
      <c r="T45" s="66">
        <v>1</v>
      </c>
      <c r="U45" s="67">
        <v>1.06</v>
      </c>
      <c r="V45" s="37">
        <f t="shared" si="3"/>
        <v>0.24878906728391392</v>
      </c>
      <c r="W45" s="58">
        <f t="shared" si="4"/>
        <v>0.21227736116374904</v>
      </c>
      <c r="X45" s="23">
        <f>ROUND(SUM(I45*H45,L45*K45,O45*N45,R45*Q45,U45*T45,)/SUM(H45,K45,N45,Q45,T45,),2)</f>
        <v>1.44</v>
      </c>
      <c r="Y45" s="38">
        <f t="shared" si="0"/>
        <v>3456</v>
      </c>
      <c r="Z45" s="6">
        <f t="shared" si="5"/>
        <v>1.03</v>
      </c>
      <c r="AA45" s="5">
        <f t="shared" si="6"/>
        <v>1.1720000000000002</v>
      </c>
      <c r="AB45" s="8">
        <f t="shared" si="7"/>
        <v>0.24878906728391392</v>
      </c>
      <c r="AC45" s="7">
        <f t="shared" si="8"/>
        <v>0.21227736116374904</v>
      </c>
      <c r="AD45" s="5">
        <f t="shared" si="1"/>
        <v>0.92321093271608623</v>
      </c>
      <c r="AE45" s="5">
        <f t="shared" si="2"/>
        <v>1.4207890672839141</v>
      </c>
    </row>
    <row r="46" spans="1:31" ht="180.75" customHeight="1" x14ac:dyDescent="0.3">
      <c r="A46" s="26">
        <v>42</v>
      </c>
      <c r="B46" s="32">
        <f>'APÊNDICE II-MEMÓRIA DE CÁLCULO'!B47</f>
        <v>12275</v>
      </c>
      <c r="C46" s="33">
        <f>'APÊNDICE II-MEMÓRIA DE CÁLCULO'!C47</f>
        <v>437178</v>
      </c>
      <c r="D46" s="34" t="str">
        <f>'APÊNDICE II-MEMÓRIA DE CÁLCULO'!D47</f>
        <v xml:space="preserve">Cateter para venopunção nº 20 G - com dispositivo de segurança atendendo a norma NR32 aprovada pela portaria MTE 485 de 11/11/2005,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 </v>
      </c>
      <c r="E46" s="33" t="str">
        <f>'APÊNDICE II-MEMÓRIA DE CÁLCULO'!E47</f>
        <v>UNIDADE</v>
      </c>
      <c r="F46" s="35">
        <f>'APÊNDICE II-MEMÓRIA DE CÁLCULO'!L47</f>
        <v>14400</v>
      </c>
      <c r="G46" s="63" t="s">
        <v>809</v>
      </c>
      <c r="H46" s="64">
        <v>19</v>
      </c>
      <c r="I46" s="67">
        <v>0.65</v>
      </c>
      <c r="J46" s="73" t="s">
        <v>810</v>
      </c>
      <c r="K46" s="66">
        <v>1</v>
      </c>
      <c r="L46" s="67">
        <v>0.84</v>
      </c>
      <c r="M46" s="63" t="s">
        <v>954</v>
      </c>
      <c r="N46" s="66">
        <v>1</v>
      </c>
      <c r="O46" s="67">
        <v>0.87</v>
      </c>
      <c r="P46" s="68" t="s">
        <v>384</v>
      </c>
      <c r="Q46" s="66">
        <v>1</v>
      </c>
      <c r="R46" s="67">
        <v>0.95</v>
      </c>
      <c r="S46" s="68" t="s">
        <v>821</v>
      </c>
      <c r="T46" s="66">
        <v>1</v>
      </c>
      <c r="U46" s="67">
        <v>0.99</v>
      </c>
      <c r="V46" s="37">
        <f t="shared" si="3"/>
        <v>0.11798304963002143</v>
      </c>
      <c r="W46" s="58">
        <f t="shared" si="4"/>
        <v>0.13718959259304817</v>
      </c>
      <c r="X46" s="23">
        <f>ROUND(SUM(I46*H46,L46*K46,O46*N46,R46*Q46,U46*T46,)/SUM(H46,K46,N46,Q46,T46,),2)</f>
        <v>0.7</v>
      </c>
      <c r="Y46" s="38">
        <f t="shared" si="0"/>
        <v>10080</v>
      </c>
      <c r="Z46" s="6">
        <f t="shared" si="5"/>
        <v>0.85499999999999998</v>
      </c>
      <c r="AA46" s="5">
        <f t="shared" si="6"/>
        <v>0.86</v>
      </c>
      <c r="AB46" s="8">
        <f t="shared" si="7"/>
        <v>0.11798304963002143</v>
      </c>
      <c r="AC46" s="7">
        <f t="shared" si="8"/>
        <v>0.13718959259304817</v>
      </c>
      <c r="AD46" s="5">
        <f t="shared" si="1"/>
        <v>0.7420169503699785</v>
      </c>
      <c r="AE46" s="5">
        <f t="shared" si="2"/>
        <v>0.97798304963002147</v>
      </c>
    </row>
    <row r="47" spans="1:31" ht="180.75" customHeight="1" x14ac:dyDescent="0.3">
      <c r="A47" s="26">
        <v>43</v>
      </c>
      <c r="B47" s="32">
        <f>'APÊNDICE II-MEMÓRIA DE CÁLCULO'!B48</f>
        <v>12276</v>
      </c>
      <c r="C47" s="33">
        <f>'APÊNDICE II-MEMÓRIA DE CÁLCULO'!C48</f>
        <v>437179</v>
      </c>
      <c r="D47" s="34" t="str">
        <f>'APÊNDICE II-MEMÓRIA DE CÁLCULO'!D48</f>
        <v>Cateter intravenoso para acesso periférico nº 22 G - com dispositivo de segurança atendendo a Norma NR32 aprovada pela Portaria MTE 485 de 11/11/2005,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7" s="33" t="str">
        <f>'APÊNDICE II-MEMÓRIA DE CÁLCULO'!E48</f>
        <v>UNIDADE</v>
      </c>
      <c r="F47" s="35">
        <f>'APÊNDICE II-MEMÓRIA DE CÁLCULO'!L48</f>
        <v>14500</v>
      </c>
      <c r="G47" s="63" t="s">
        <v>809</v>
      </c>
      <c r="H47" s="64">
        <v>4</v>
      </c>
      <c r="I47" s="67">
        <v>1.55</v>
      </c>
      <c r="J47" s="73" t="s">
        <v>810</v>
      </c>
      <c r="K47" s="66">
        <v>7</v>
      </c>
      <c r="L47" s="67">
        <v>1.18</v>
      </c>
      <c r="M47" s="63" t="s">
        <v>955</v>
      </c>
      <c r="N47" s="66">
        <v>1</v>
      </c>
      <c r="O47" s="67">
        <v>0.85</v>
      </c>
      <c r="P47" s="68" t="s">
        <v>351</v>
      </c>
      <c r="Q47" s="66">
        <v>1</v>
      </c>
      <c r="R47" s="67">
        <v>1.0900000000000001</v>
      </c>
      <c r="S47" s="68" t="s">
        <v>382</v>
      </c>
      <c r="T47" s="66">
        <v>1</v>
      </c>
      <c r="U47" s="67">
        <v>1.39</v>
      </c>
      <c r="V47" s="37">
        <f t="shared" si="3"/>
        <v>0.2420247921184939</v>
      </c>
      <c r="W47" s="58">
        <f t="shared" si="4"/>
        <v>0.19969042254001146</v>
      </c>
      <c r="X47" s="23">
        <f>ROUND(SUM(I47*H47,L47*K47,O47*N47,R47*Q47,U47*T47,)/SUM(H47,K47,N47,Q47,T47,),2)</f>
        <v>1.27</v>
      </c>
      <c r="Y47" s="38">
        <f t="shared" si="0"/>
        <v>18415</v>
      </c>
      <c r="Z47" s="6">
        <f t="shared" si="5"/>
        <v>1.135</v>
      </c>
      <c r="AA47" s="5">
        <f t="shared" si="6"/>
        <v>1.212</v>
      </c>
      <c r="AB47" s="8">
        <f t="shared" si="7"/>
        <v>0.2420247921184939</v>
      </c>
      <c r="AC47" s="7">
        <f t="shared" si="8"/>
        <v>0.19969042254001146</v>
      </c>
      <c r="AD47" s="5">
        <f t="shared" si="1"/>
        <v>0.96997520788150604</v>
      </c>
      <c r="AE47" s="5">
        <f t="shared" si="2"/>
        <v>1.4540247921184939</v>
      </c>
    </row>
    <row r="48" spans="1:31" ht="180.75" customHeight="1" x14ac:dyDescent="0.3">
      <c r="A48" s="26">
        <v>44</v>
      </c>
      <c r="B48" s="32">
        <f>'APÊNDICE II-MEMÓRIA DE CÁLCULO'!B49</f>
        <v>12277</v>
      </c>
      <c r="C48" s="33">
        <f>'APÊNDICE II-MEMÓRIA DE CÁLCULO'!C49</f>
        <v>437180</v>
      </c>
      <c r="D48" s="34" t="str">
        <f>'APÊNDICE II-MEMÓRIA DE CÁLCULO'!D49</f>
        <v>Cateter para venopunção nº 24 G - com dispositivo de segurança atendendo a norma NR32 aprovada pela portaria MTE 485 de 11/11/200, intravenoso para acesso periférico, com cateter externo, radiopaco, flexível, ajustado a uma agulha introdutora vazada de aço inoxidável com bisel trifacetado e biangulado, com câmara transparente de refluxo sanguíneo, com protetor de encaixe. Estéril, em embalagem individual de papel grau cirúrgico e/ou filme termoplástico, que permita abertura asséptica, contendo dados de identificação e procedência, lote, data e tipo de esterilização, prazo de validade e registro em órgão competente.</v>
      </c>
      <c r="E48" s="33" t="str">
        <f>'APÊNDICE II-MEMÓRIA DE CÁLCULO'!E49</f>
        <v>UNIDADE</v>
      </c>
      <c r="F48" s="35">
        <f>'APÊNDICE II-MEMÓRIA DE CÁLCULO'!L49</f>
        <v>14600</v>
      </c>
      <c r="G48" s="63" t="s">
        <v>809</v>
      </c>
      <c r="H48" s="64">
        <v>6</v>
      </c>
      <c r="I48" s="67">
        <v>1.82</v>
      </c>
      <c r="J48" s="73" t="s">
        <v>810</v>
      </c>
      <c r="K48" s="66">
        <v>10</v>
      </c>
      <c r="L48" s="67">
        <v>1.4</v>
      </c>
      <c r="M48" s="63" t="s">
        <v>956</v>
      </c>
      <c r="N48" s="66">
        <v>1</v>
      </c>
      <c r="O48" s="67">
        <v>0.9</v>
      </c>
      <c r="P48" s="68" t="s">
        <v>349</v>
      </c>
      <c r="Q48" s="66">
        <v>1</v>
      </c>
      <c r="R48" s="67">
        <v>1.2</v>
      </c>
      <c r="S48" s="68" t="s">
        <v>787</v>
      </c>
      <c r="T48" s="66">
        <v>1</v>
      </c>
      <c r="U48" s="67">
        <v>1.19</v>
      </c>
      <c r="V48" s="37">
        <f t="shared" si="3"/>
        <v>0.30413155048432555</v>
      </c>
      <c r="W48" s="58">
        <f t="shared" si="4"/>
        <v>0.23358798040270778</v>
      </c>
      <c r="X48" s="23">
        <f>ROUND(SUM(I48*H48,L48*K48,O48*N48,R48*Q48,U48*T48,)/SUM(H48,K48,N48,Q48,T48,),2)</f>
        <v>1.48</v>
      </c>
      <c r="Y48" s="38">
        <f t="shared" si="0"/>
        <v>21608</v>
      </c>
      <c r="Z48" s="6">
        <f t="shared" si="5"/>
        <v>1.1949999999999998</v>
      </c>
      <c r="AA48" s="5">
        <f t="shared" si="6"/>
        <v>1.302</v>
      </c>
      <c r="AB48" s="8">
        <f t="shared" si="7"/>
        <v>0.30413155048432555</v>
      </c>
      <c r="AC48" s="7">
        <f t="shared" si="8"/>
        <v>0.23358798040270778</v>
      </c>
      <c r="AD48" s="5">
        <f t="shared" si="1"/>
        <v>0.99786844951567444</v>
      </c>
      <c r="AE48" s="5">
        <f t="shared" si="2"/>
        <v>1.6061315504843257</v>
      </c>
    </row>
    <row r="49" spans="1:31" ht="111" customHeight="1" x14ac:dyDescent="0.3">
      <c r="A49" s="26">
        <v>45</v>
      </c>
      <c r="B49" s="32">
        <f>'APÊNDICE II-MEMÓRIA DE CÁLCULO'!B50</f>
        <v>12278</v>
      </c>
      <c r="C49" s="33">
        <f>'APÊNDICE II-MEMÓRIA DE CÁLCULO'!C50</f>
        <v>464912</v>
      </c>
      <c r="D49" s="34" t="str">
        <f>'APÊNDICE II-MEMÓRIA DE CÁLCULO'!D50</f>
        <v>Campo cirúrgico - tipo: fenestrado de 8 à 10 cm, dimensão: 0,50x,0,50 cm, gramatura: cerca de 200 G/M2, material: tecido 100% algodão, características adicionais: kit com 10 unidades, embalagem contendo dados de identificação e procedência, lote e registro em órgão competente.</v>
      </c>
      <c r="E49" s="33" t="str">
        <f>'APÊNDICE II-MEMÓRIA DE CÁLCULO'!E50</f>
        <v>KIT</v>
      </c>
      <c r="F49" s="35">
        <f>'APÊNDICE II-MEMÓRIA DE CÁLCULO'!L50</f>
        <v>17</v>
      </c>
      <c r="G49" s="25" t="s">
        <v>31</v>
      </c>
      <c r="H49" s="54" t="s">
        <v>31</v>
      </c>
      <c r="I49" s="37" t="s">
        <v>31</v>
      </c>
      <c r="J49" s="56" t="s">
        <v>31</v>
      </c>
      <c r="K49" s="55" t="s">
        <v>31</v>
      </c>
      <c r="L49" s="37" t="s">
        <v>31</v>
      </c>
      <c r="M49" s="63" t="s">
        <v>626</v>
      </c>
      <c r="N49" s="66">
        <v>1</v>
      </c>
      <c r="O49" s="67">
        <v>300</v>
      </c>
      <c r="P49" s="68" t="s">
        <v>700</v>
      </c>
      <c r="Q49" s="66">
        <v>1</v>
      </c>
      <c r="R49" s="67">
        <f>649.99/2</f>
        <v>324.995</v>
      </c>
      <c r="S49" s="68" t="s">
        <v>920</v>
      </c>
      <c r="T49" s="66">
        <v>1</v>
      </c>
      <c r="U49" s="67">
        <f>682.5/2</f>
        <v>341.25</v>
      </c>
      <c r="V49" s="37">
        <f t="shared" si="3"/>
        <v>16.965774534501971</v>
      </c>
      <c r="W49" s="58">
        <f t="shared" si="4"/>
        <v>5.267538109227568E-2</v>
      </c>
      <c r="X49" s="23">
        <f>ROUND(SUM(O49*N49,R49*Q49,U49*T49,)/SUM(N49,Q49,T49,),2)</f>
        <v>322.08</v>
      </c>
      <c r="Y49" s="38">
        <f t="shared" si="0"/>
        <v>5475.36</v>
      </c>
      <c r="Z49" s="6">
        <f t="shared" si="5"/>
        <v>312.4975</v>
      </c>
      <c r="AA49" s="5">
        <f t="shared" si="6"/>
        <v>322.08166666666665</v>
      </c>
      <c r="AB49" s="8">
        <f t="shared" si="7"/>
        <v>16.965774534501971</v>
      </c>
      <c r="AC49" s="7">
        <f t="shared" si="8"/>
        <v>5.267538109227568E-2</v>
      </c>
      <c r="AD49" s="5">
        <f t="shared" si="1"/>
        <v>305.11589213216467</v>
      </c>
      <c r="AE49" s="5">
        <f t="shared" si="2"/>
        <v>339.04744120116862</v>
      </c>
    </row>
    <row r="50" spans="1:31" ht="111" customHeight="1" x14ac:dyDescent="0.3">
      <c r="A50" s="26">
        <v>46</v>
      </c>
      <c r="B50" s="32">
        <f>'APÊNDICE II-MEMÓRIA DE CÁLCULO'!B51</f>
        <v>12279</v>
      </c>
      <c r="C50" s="33">
        <f>'APÊNDICE II-MEMÓRIA DE CÁLCULO'!C51</f>
        <v>464915</v>
      </c>
      <c r="D50" s="34" t="str">
        <f>'APÊNDICE II-MEMÓRIA DE CÁLCULO'!D51</f>
        <v>Campo cirúrgico - tipo: fenestrado de 8 à 10 cm, dimensão: 0,80x,0,80 cm, gramatura: cerca de 200 G/M2, material: tecido 100% algodão, características adicionais: kit com 10 unidades, embalagem contendo dados de identificação e procedência, lote e registro em órgão competente.</v>
      </c>
      <c r="E50" s="33" t="str">
        <f>'APÊNDICE II-MEMÓRIA DE CÁLCULO'!E51</f>
        <v>KIT</v>
      </c>
      <c r="F50" s="35">
        <f>'APÊNDICE II-MEMÓRIA DE CÁLCULO'!L51</f>
        <v>17</v>
      </c>
      <c r="G50" s="25" t="s">
        <v>31</v>
      </c>
      <c r="H50" s="54" t="s">
        <v>31</v>
      </c>
      <c r="I50" s="37" t="s">
        <v>31</v>
      </c>
      <c r="J50" s="56" t="s">
        <v>31</v>
      </c>
      <c r="K50" s="55" t="s">
        <v>31</v>
      </c>
      <c r="L50" s="37" t="s">
        <v>31</v>
      </c>
      <c r="M50" s="63" t="s">
        <v>627</v>
      </c>
      <c r="N50" s="66">
        <v>1</v>
      </c>
      <c r="O50" s="67">
        <v>375</v>
      </c>
      <c r="P50" s="68" t="s">
        <v>700</v>
      </c>
      <c r="Q50" s="66">
        <v>1</v>
      </c>
      <c r="R50" s="67">
        <v>409.99</v>
      </c>
      <c r="S50" s="68" t="s">
        <v>920</v>
      </c>
      <c r="T50" s="66">
        <v>1</v>
      </c>
      <c r="U50" s="67">
        <v>418</v>
      </c>
      <c r="V50" s="37">
        <f t="shared" si="3"/>
        <v>18.671011994235581</v>
      </c>
      <c r="W50" s="58">
        <f t="shared" si="4"/>
        <v>4.6561514212675702E-2</v>
      </c>
      <c r="X50" s="23">
        <f>ROUND(SUM(O50*N50,R50*Q50,U50*T50,)/SUM(N50,Q50,T50,),2)</f>
        <v>401</v>
      </c>
      <c r="Y50" s="38">
        <f t="shared" si="0"/>
        <v>6817</v>
      </c>
      <c r="Z50" s="6">
        <f t="shared" si="5"/>
        <v>392.495</v>
      </c>
      <c r="AA50" s="5">
        <f t="shared" si="6"/>
        <v>400.99666666666667</v>
      </c>
      <c r="AB50" s="8">
        <f t="shared" si="7"/>
        <v>18.671011994235581</v>
      </c>
      <c r="AC50" s="7">
        <f t="shared" si="8"/>
        <v>4.6561514212675702E-2</v>
      </c>
      <c r="AD50" s="5">
        <f t="shared" si="1"/>
        <v>382.32565467243109</v>
      </c>
      <c r="AE50" s="5">
        <f t="shared" si="2"/>
        <v>419.66767866090225</v>
      </c>
    </row>
    <row r="51" spans="1:31" ht="111" customHeight="1" x14ac:dyDescent="0.3">
      <c r="A51" s="26">
        <v>47</v>
      </c>
      <c r="B51" s="32">
        <f>'APÊNDICE II-MEMÓRIA DE CÁLCULO'!B52</f>
        <v>12280</v>
      </c>
      <c r="C51" s="33" t="str">
        <f>'APÊNDICE II-MEMÓRIA DE CÁLCULO'!C52</f>
        <v>-</v>
      </c>
      <c r="D51" s="34" t="str">
        <f>'APÊNDICE II-MEMÓRIA DE CÁLCULO'!D52</f>
        <v>Campo cirúrgico - tipo: sem fenestra, dimensão: 1,60x1,60 cm, gramatura: cerca de 200 G/M2, material: tecido 100% algodão, características adicionais: kit com 10 unidades, embalagem contendo dados de identificação e procedência, lote e registro em órgão competente.</v>
      </c>
      <c r="E51" s="33" t="str">
        <f>'APÊNDICE II-MEMÓRIA DE CÁLCULO'!E52</f>
        <v>KIT</v>
      </c>
      <c r="F51" s="35">
        <f>'APÊNDICE II-MEMÓRIA DE CÁLCULO'!L52</f>
        <v>17</v>
      </c>
      <c r="G51" s="63" t="s">
        <v>809</v>
      </c>
      <c r="H51" s="64">
        <v>9</v>
      </c>
      <c r="I51" s="67">
        <f>119*10</f>
        <v>1190</v>
      </c>
      <c r="J51" s="56" t="s">
        <v>31</v>
      </c>
      <c r="K51" s="55" t="s">
        <v>31</v>
      </c>
      <c r="L51" s="37" t="s">
        <v>31</v>
      </c>
      <c r="M51" s="63" t="s">
        <v>628</v>
      </c>
      <c r="N51" s="66">
        <v>1</v>
      </c>
      <c r="O51" s="67">
        <v>965</v>
      </c>
      <c r="P51" s="68" t="s">
        <v>685</v>
      </c>
      <c r="Q51" s="66">
        <v>1</v>
      </c>
      <c r="R51" s="67">
        <f>192.25*10</f>
        <v>1922.5</v>
      </c>
      <c r="S51" s="40" t="s">
        <v>31</v>
      </c>
      <c r="T51" s="40" t="s">
        <v>31</v>
      </c>
      <c r="U51" s="40" t="s">
        <v>31</v>
      </c>
      <c r="V51" s="37">
        <f t="shared" si="3"/>
        <v>408.79056033893715</v>
      </c>
      <c r="W51" s="58">
        <f t="shared" si="4"/>
        <v>0.30076558700596234</v>
      </c>
      <c r="X51" s="23">
        <f>ROUND(SUM(I51*H51,O51*N51,R51*Q51,)/SUM(H51,N51,Q51,),2)</f>
        <v>1236.1400000000001</v>
      </c>
      <c r="Y51" s="38">
        <f t="shared" si="0"/>
        <v>21014.38</v>
      </c>
      <c r="Z51" s="6">
        <f t="shared" si="5"/>
        <v>1077.5</v>
      </c>
      <c r="AA51" s="5">
        <f t="shared" si="6"/>
        <v>1359.1666666666667</v>
      </c>
      <c r="AB51" s="8">
        <f t="shared" si="7"/>
        <v>408.79056033893715</v>
      </c>
      <c r="AC51" s="7">
        <f t="shared" si="8"/>
        <v>0.30076558700596234</v>
      </c>
      <c r="AD51" s="5">
        <f t="shared" si="1"/>
        <v>950.37610632772953</v>
      </c>
      <c r="AE51" s="5">
        <f t="shared" si="2"/>
        <v>1767.957227005604</v>
      </c>
    </row>
    <row r="52" spans="1:31" ht="130.5" customHeight="1" x14ac:dyDescent="0.3">
      <c r="A52" s="26">
        <v>48</v>
      </c>
      <c r="B52" s="32">
        <f>'APÊNDICE II-MEMÓRIA DE CÁLCULO'!B53</f>
        <v>12281</v>
      </c>
      <c r="C52" s="33">
        <f>'APÊNDICE II-MEMÓRIA DE CÁLCULO'!C53</f>
        <v>481349</v>
      </c>
      <c r="D52" s="34" t="str">
        <f>'APÊNDICE II-MEMÓRIA DE CÁLCULO'!D53</f>
        <v xml:space="preserve">Compressa de gaze - medidas: 7,5 cm de largura e 7,5 cm de comprimento fechadas; 15 cm de largura e 30 cm de comprimento aberta, material: 100% algodão, tipo: 11 fios, características adicionais: estéril, descartável, com tecido tipo tela de algodão da melhor qualidade, tecido altamente absorvente, macio e agradável, isento de impurezas, com dobras para dentro da compressa, especialmente tratado para fins cirúrgicos e curativos, pacote com 10 unidades. Embalagem contendo dados de identificação e procedência e registro em órgão competente. </v>
      </c>
      <c r="E52" s="33" t="str">
        <f>'APÊNDICE II-MEMÓRIA DE CÁLCULO'!E53</f>
        <v>PACOTE</v>
      </c>
      <c r="F52" s="35">
        <f>'APÊNDICE II-MEMÓRIA DE CÁLCULO'!L53</f>
        <v>215200</v>
      </c>
      <c r="G52" s="63" t="s">
        <v>809</v>
      </c>
      <c r="H52" s="64">
        <v>1</v>
      </c>
      <c r="I52" s="67">
        <v>0.48</v>
      </c>
      <c r="J52" s="73" t="s">
        <v>810</v>
      </c>
      <c r="K52" s="66">
        <v>2</v>
      </c>
      <c r="L52" s="67">
        <v>0.64</v>
      </c>
      <c r="M52" s="63" t="s">
        <v>422</v>
      </c>
      <c r="N52" s="66">
        <v>1</v>
      </c>
      <c r="O52" s="67">
        <v>0.36</v>
      </c>
      <c r="P52" s="68" t="s">
        <v>351</v>
      </c>
      <c r="Q52" s="66">
        <v>1</v>
      </c>
      <c r="R52" s="67">
        <v>0.79</v>
      </c>
      <c r="S52" s="68" t="s">
        <v>380</v>
      </c>
      <c r="T52" s="66">
        <v>1</v>
      </c>
      <c r="U52" s="67">
        <v>0.79</v>
      </c>
      <c r="V52" s="37">
        <f t="shared" si="3"/>
        <v>0.17034083479894094</v>
      </c>
      <c r="W52" s="58">
        <f t="shared" si="4"/>
        <v>0.27833469738389044</v>
      </c>
      <c r="X52" s="23">
        <f>ROUND(SUM(I52*H52,L52*K52,O52*N52,R52*Q52,U52*T52,)/SUM(H52,K52,N52,Q52,T52,),2)</f>
        <v>0.62</v>
      </c>
      <c r="Y52" s="38">
        <f t="shared" si="0"/>
        <v>133424</v>
      </c>
      <c r="Z52" s="6">
        <f t="shared" si="5"/>
        <v>0.56000000000000005</v>
      </c>
      <c r="AA52" s="5">
        <f t="shared" si="6"/>
        <v>0.61199999999999999</v>
      </c>
      <c r="AB52" s="8">
        <f t="shared" si="7"/>
        <v>0.17034083479894094</v>
      </c>
      <c r="AC52" s="7">
        <f t="shared" si="8"/>
        <v>0.27833469738389044</v>
      </c>
      <c r="AD52" s="5">
        <f t="shared" si="1"/>
        <v>0.44165916520105908</v>
      </c>
      <c r="AE52" s="5">
        <f t="shared" si="2"/>
        <v>0.7823408347989409</v>
      </c>
    </row>
    <row r="53" spans="1:31" ht="130.5" customHeight="1" x14ac:dyDescent="0.3">
      <c r="A53" s="26">
        <v>49</v>
      </c>
      <c r="B53" s="32">
        <f>'APÊNDICE II-MEMÓRIA DE CÁLCULO'!B54</f>
        <v>12282</v>
      </c>
      <c r="C53" s="33" t="str">
        <f>'APÊNDICE II-MEMÓRIA DE CÁLCULO'!C54</f>
        <v>-</v>
      </c>
      <c r="D53" s="34" t="str">
        <f>'APÊNDICE II-MEMÓRIA DE CÁLCULO'!D54</f>
        <v xml:space="preserve">Compressa cirúrgica - dimensões: 25 x 28 cm, material: 100% algodão, características adicionais: campo operatório, com cadarço duplo, pré lavada, estéril, em tecido quadruplo sobreposto tipo tela com placa radiopaca, contento 55 a 60% de sulfato de bário ou com fio radiopaco, tecido  fechado nas extremidades com costura para reforçar os mesmo e evitar e seu desfiamento. Embalagem contendo dados de identificação e procedência e registro em órgão competente. </v>
      </c>
      <c r="E53" s="33" t="str">
        <f>'APÊNDICE II-MEMÓRIA DE CÁLCULO'!E54</f>
        <v>UNIDADE</v>
      </c>
      <c r="F53" s="35">
        <f>'APÊNDICE II-MEMÓRIA DE CÁLCULO'!L54</f>
        <v>1300</v>
      </c>
      <c r="G53" s="63" t="s">
        <v>809</v>
      </c>
      <c r="H53" s="64">
        <v>1</v>
      </c>
      <c r="I53" s="65">
        <f>5.88/5</f>
        <v>1.1759999999999999</v>
      </c>
      <c r="J53" s="56" t="s">
        <v>31</v>
      </c>
      <c r="K53" s="25" t="s">
        <v>31</v>
      </c>
      <c r="L53" s="56" t="s">
        <v>31</v>
      </c>
      <c r="M53" s="63" t="s">
        <v>543</v>
      </c>
      <c r="N53" s="66">
        <v>1</v>
      </c>
      <c r="O53" s="67">
        <v>1.76</v>
      </c>
      <c r="P53" s="68" t="s">
        <v>387</v>
      </c>
      <c r="Q53" s="66">
        <v>1</v>
      </c>
      <c r="R53" s="67">
        <f>9.1/5</f>
        <v>1.8199999999999998</v>
      </c>
      <c r="S53" s="68" t="s">
        <v>388</v>
      </c>
      <c r="T53" s="66">
        <v>1</v>
      </c>
      <c r="U53" s="67">
        <f>10.6/5</f>
        <v>2.12</v>
      </c>
      <c r="V53" s="37">
        <f t="shared" si="3"/>
        <v>0.34188155843800522</v>
      </c>
      <c r="W53" s="58">
        <f t="shared" si="4"/>
        <v>0.19888397814892683</v>
      </c>
      <c r="X53" s="23">
        <f>ROUND(SUM(I53*H53,O53*N53,R53*Q53,U53*T53,)/SUM(H53,N53,Q53,T53,),2)</f>
        <v>1.72</v>
      </c>
      <c r="Y53" s="38">
        <f t="shared" si="0"/>
        <v>2236</v>
      </c>
      <c r="Z53" s="6">
        <f t="shared" si="5"/>
        <v>1.76</v>
      </c>
      <c r="AA53" s="5">
        <f t="shared" si="6"/>
        <v>1.7190000000000001</v>
      </c>
      <c r="AB53" s="8">
        <f t="shared" si="7"/>
        <v>0.34188155843800522</v>
      </c>
      <c r="AC53" s="7">
        <f t="shared" si="8"/>
        <v>0.19888397814892683</v>
      </c>
      <c r="AD53" s="5">
        <f t="shared" si="1"/>
        <v>1.3771184415619948</v>
      </c>
      <c r="AE53" s="5">
        <f t="shared" si="2"/>
        <v>2.0608815584380054</v>
      </c>
    </row>
    <row r="54" spans="1:31" ht="111" customHeight="1" x14ac:dyDescent="0.3">
      <c r="A54" s="26">
        <v>50</v>
      </c>
      <c r="B54" s="32">
        <f>'APÊNDICE II-MEMÓRIA DE CÁLCULO'!B55</f>
        <v>12283</v>
      </c>
      <c r="C54" s="33">
        <f>'APÊNDICE II-MEMÓRIA DE CÁLCULO'!C55</f>
        <v>454910</v>
      </c>
      <c r="D54" s="34" t="str">
        <f>'APÊNDICE II-MEMÓRIA DE CÁLCULO'!D55</f>
        <v>Cateter - aplicação: nasal para oxigênio, tipo óculos, tamanho: adulto, material: PVC atóxico siliconado, características adicionais: flexível, descartável, anatômica, com sistema de fixação que não cause desconforto ao paciente. Embalagem individual estéril, com dados de identificação e procedência, data, tipo de esterilização e data de validade.</v>
      </c>
      <c r="E54" s="33" t="str">
        <f>'APÊNDICE II-MEMÓRIA DE CÁLCULO'!E55</f>
        <v>UNIDADE</v>
      </c>
      <c r="F54" s="35">
        <f>'APÊNDICE II-MEMÓRIA DE CÁLCULO'!L55</f>
        <v>1200</v>
      </c>
      <c r="G54" s="63" t="s">
        <v>809</v>
      </c>
      <c r="H54" s="64">
        <v>1</v>
      </c>
      <c r="I54" s="65">
        <v>1.24</v>
      </c>
      <c r="J54" s="56" t="s">
        <v>31</v>
      </c>
      <c r="K54" s="25" t="s">
        <v>31</v>
      </c>
      <c r="L54" s="56" t="s">
        <v>31</v>
      </c>
      <c r="M54" s="63" t="s">
        <v>510</v>
      </c>
      <c r="N54" s="66">
        <v>1</v>
      </c>
      <c r="O54" s="67">
        <v>0.99</v>
      </c>
      <c r="P54" s="68" t="s">
        <v>349</v>
      </c>
      <c r="Q54" s="66">
        <v>1</v>
      </c>
      <c r="R54" s="67">
        <v>1.8</v>
      </c>
      <c r="S54" s="68" t="s">
        <v>366</v>
      </c>
      <c r="T54" s="66">
        <v>1</v>
      </c>
      <c r="U54" s="67">
        <v>2.1</v>
      </c>
      <c r="V54" s="37">
        <f t="shared" si="3"/>
        <v>0.43973713739005421</v>
      </c>
      <c r="W54" s="58">
        <f t="shared" si="4"/>
        <v>0.28694103581732733</v>
      </c>
      <c r="X54" s="23">
        <f>ROUND(SUM(I54*H54,O54*N54,R54*Q54,U54*T54,)/SUM(H54,N54,Q54,T54,),2)</f>
        <v>1.53</v>
      </c>
      <c r="Y54" s="38">
        <f t="shared" si="0"/>
        <v>1836</v>
      </c>
      <c r="Z54" s="6">
        <f t="shared" si="5"/>
        <v>1.24</v>
      </c>
      <c r="AA54" s="5">
        <f t="shared" si="6"/>
        <v>1.5325000000000002</v>
      </c>
      <c r="AB54" s="8">
        <f t="shared" si="7"/>
        <v>0.43973713739005421</v>
      </c>
      <c r="AC54" s="7">
        <f t="shared" si="8"/>
        <v>0.28694103581732733</v>
      </c>
      <c r="AD54" s="5">
        <f t="shared" si="1"/>
        <v>1.0927628626099459</v>
      </c>
      <c r="AE54" s="5">
        <f t="shared" si="2"/>
        <v>1.9722371373900545</v>
      </c>
    </row>
    <row r="55" spans="1:31" ht="111" customHeight="1" x14ac:dyDescent="0.3">
      <c r="A55" s="26">
        <v>51</v>
      </c>
      <c r="B55" s="32">
        <f>'APÊNDICE II-MEMÓRIA DE CÁLCULO'!B56</f>
        <v>12284</v>
      </c>
      <c r="C55" s="33" t="str">
        <f>'APÊNDICE II-MEMÓRIA DE CÁLCULO'!C56</f>
        <v>-</v>
      </c>
      <c r="D55" s="34" t="str">
        <f>'APÊNDICE II-MEMÓRIA DE CÁLCULO'!D56</f>
        <v>Cateter - aplicação: nasal para oxigênio, tipo óculos, tamanho: infantil, material: PVC atóxico siliconado, características adicionais: flexível, descartável, anatômica, com sistema de fixação que não cause desconforto ao paciente. Embalagem individual estéril, com dados de identificação e procedência, data, tipo de esterilização e data de validade.</v>
      </c>
      <c r="E55" s="33" t="str">
        <f>'APÊNDICE II-MEMÓRIA DE CÁLCULO'!E56</f>
        <v>UNIDADE</v>
      </c>
      <c r="F55" s="35">
        <f>'APÊNDICE II-MEMÓRIA DE CÁLCULO'!L56</f>
        <v>900</v>
      </c>
      <c r="G55" s="63" t="s">
        <v>809</v>
      </c>
      <c r="H55" s="64">
        <v>1</v>
      </c>
      <c r="I55" s="65">
        <v>0.94</v>
      </c>
      <c r="J55" s="56" t="s">
        <v>31</v>
      </c>
      <c r="K55" s="25" t="s">
        <v>31</v>
      </c>
      <c r="L55" s="56" t="s">
        <v>31</v>
      </c>
      <c r="M55" s="63" t="s">
        <v>511</v>
      </c>
      <c r="N55" s="66">
        <v>1</v>
      </c>
      <c r="O55" s="67">
        <v>1.44</v>
      </c>
      <c r="P55" s="68" t="s">
        <v>383</v>
      </c>
      <c r="Q55" s="66">
        <v>1</v>
      </c>
      <c r="R55" s="67">
        <v>1.71</v>
      </c>
      <c r="S55" s="68" t="s">
        <v>349</v>
      </c>
      <c r="T55" s="66">
        <v>1</v>
      </c>
      <c r="U55" s="67">
        <v>1.8</v>
      </c>
      <c r="V55" s="37">
        <f t="shared" si="3"/>
        <v>0.33476670981446194</v>
      </c>
      <c r="W55" s="58">
        <f t="shared" si="4"/>
        <v>0.22734581311678231</v>
      </c>
      <c r="X55" s="23">
        <f>ROUND(SUM(I55*H55,O55*N55,R55*Q55,U55*T55,)/SUM(H55,N55,Q55,T55,),2)</f>
        <v>1.47</v>
      </c>
      <c r="Y55" s="38">
        <f t="shared" si="0"/>
        <v>1323</v>
      </c>
      <c r="Z55" s="6">
        <f t="shared" si="5"/>
        <v>1.44</v>
      </c>
      <c r="AA55" s="5">
        <f t="shared" si="6"/>
        <v>1.4724999999999999</v>
      </c>
      <c r="AB55" s="8">
        <f t="shared" si="7"/>
        <v>0.33476670981446194</v>
      </c>
      <c r="AC55" s="7">
        <f t="shared" si="8"/>
        <v>0.22734581311678231</v>
      </c>
      <c r="AD55" s="5">
        <f t="shared" si="1"/>
        <v>1.1377332901855379</v>
      </c>
      <c r="AE55" s="5">
        <f t="shared" si="2"/>
        <v>1.8072667098144619</v>
      </c>
    </row>
    <row r="56" spans="1:31" ht="111" customHeight="1" x14ac:dyDescent="0.3">
      <c r="A56" s="26">
        <v>52</v>
      </c>
      <c r="B56" s="32">
        <f>'APÊNDICE II-MEMÓRIA DE CÁLCULO'!B57</f>
        <v>12285</v>
      </c>
      <c r="C56" s="33">
        <f>'APÊNDICE II-MEMÓRIA DE CÁLCULO'!C57</f>
        <v>450962</v>
      </c>
      <c r="D56" s="34" t="str">
        <f>'APÊNDICE II-MEMÓRIA DE CÁLCULO'!D57</f>
        <v>Cânula orofaríngea Guedel - tamanho: nº 0,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6" s="33" t="str">
        <f>'APÊNDICE II-MEMÓRIA DE CÁLCULO'!E57</f>
        <v>UNIDADE</v>
      </c>
      <c r="F56" s="35">
        <f>'APÊNDICE II-MEMÓRIA DE CÁLCULO'!L57</f>
        <v>10</v>
      </c>
      <c r="G56" s="63" t="s">
        <v>809</v>
      </c>
      <c r="H56" s="64">
        <v>5</v>
      </c>
      <c r="I56" s="65">
        <v>2.31</v>
      </c>
      <c r="J56" s="73" t="s">
        <v>810</v>
      </c>
      <c r="K56" s="64">
        <v>4</v>
      </c>
      <c r="L56" s="65">
        <v>3.18</v>
      </c>
      <c r="M56" s="63" t="s">
        <v>423</v>
      </c>
      <c r="N56" s="66">
        <v>1</v>
      </c>
      <c r="O56" s="67">
        <v>4.4000000000000004</v>
      </c>
      <c r="P56" s="68" t="s">
        <v>399</v>
      </c>
      <c r="Q56" s="66">
        <v>1</v>
      </c>
      <c r="R56" s="67">
        <v>2.4500000000000002</v>
      </c>
      <c r="S56" s="68" t="s">
        <v>351</v>
      </c>
      <c r="T56" s="66">
        <v>1</v>
      </c>
      <c r="U56" s="67">
        <v>2.75</v>
      </c>
      <c r="V56" s="37">
        <f t="shared" si="3"/>
        <v>0.7525795639000572</v>
      </c>
      <c r="W56" s="58">
        <f t="shared" si="4"/>
        <v>0.24936367259776582</v>
      </c>
      <c r="X56" s="23">
        <f t="shared" ref="X56:X72" si="11">ROUND(SUM(I56*H56,L56*K56,O56*N56,R56*Q56,U56*T56,)/SUM(H56,K56,N56,Q56,T56,),2)</f>
        <v>2.82</v>
      </c>
      <c r="Y56" s="38">
        <f t="shared" si="0"/>
        <v>28.2</v>
      </c>
      <c r="Z56" s="6">
        <f t="shared" si="5"/>
        <v>2.6</v>
      </c>
      <c r="AA56" s="5">
        <f t="shared" si="6"/>
        <v>3.0179999999999998</v>
      </c>
      <c r="AB56" s="8">
        <f t="shared" si="7"/>
        <v>0.7525795639000572</v>
      </c>
      <c r="AC56" s="7">
        <f t="shared" si="8"/>
        <v>0.24936367259776582</v>
      </c>
      <c r="AD56" s="5">
        <f t="shared" si="1"/>
        <v>2.2654204360999426</v>
      </c>
      <c r="AE56" s="5">
        <f t="shared" si="2"/>
        <v>3.770579563900057</v>
      </c>
    </row>
    <row r="57" spans="1:31" ht="111" customHeight="1" x14ac:dyDescent="0.3">
      <c r="A57" s="26">
        <v>53</v>
      </c>
      <c r="B57" s="32">
        <f>'APÊNDICE II-MEMÓRIA DE CÁLCULO'!B58</f>
        <v>12286</v>
      </c>
      <c r="C57" s="33">
        <f>'APÊNDICE II-MEMÓRIA DE CÁLCULO'!C58</f>
        <v>422819</v>
      </c>
      <c r="D57" s="34" t="str">
        <f>'APÊNDICE II-MEMÓRIA DE CÁLCULO'!D58</f>
        <v>Cânula orofaríngea Guedel - tamanho: nº 1,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7" s="33" t="str">
        <f>'APÊNDICE II-MEMÓRIA DE CÁLCULO'!E58</f>
        <v>UNIDADE</v>
      </c>
      <c r="F57" s="35">
        <f>'APÊNDICE II-MEMÓRIA DE CÁLCULO'!L58</f>
        <v>10</v>
      </c>
      <c r="G57" s="63" t="s">
        <v>809</v>
      </c>
      <c r="H57" s="64">
        <v>2</v>
      </c>
      <c r="I57" s="65">
        <v>3.2</v>
      </c>
      <c r="J57" s="73" t="s">
        <v>810</v>
      </c>
      <c r="K57" s="64">
        <v>5</v>
      </c>
      <c r="L57" s="65">
        <v>3.68</v>
      </c>
      <c r="M57" s="63" t="s">
        <v>512</v>
      </c>
      <c r="N57" s="66">
        <v>1</v>
      </c>
      <c r="O57" s="67">
        <v>3.99</v>
      </c>
      <c r="P57" s="68" t="s">
        <v>349</v>
      </c>
      <c r="Q57" s="66">
        <v>1</v>
      </c>
      <c r="R57" s="67">
        <v>2</v>
      </c>
      <c r="S57" s="68" t="s">
        <v>351</v>
      </c>
      <c r="T57" s="66">
        <v>1</v>
      </c>
      <c r="U57" s="67">
        <v>2.75</v>
      </c>
      <c r="V57" s="37">
        <f t="shared" si="3"/>
        <v>0.70258380283066491</v>
      </c>
      <c r="W57" s="58">
        <f t="shared" si="4"/>
        <v>0.22489878451685816</v>
      </c>
      <c r="X57" s="23">
        <f t="shared" si="11"/>
        <v>3.35</v>
      </c>
      <c r="Y57" s="38">
        <f t="shared" si="0"/>
        <v>33.5</v>
      </c>
      <c r="Z57" s="6">
        <f t="shared" si="5"/>
        <v>2.9750000000000001</v>
      </c>
      <c r="AA57" s="5">
        <f t="shared" si="6"/>
        <v>3.1240000000000001</v>
      </c>
      <c r="AB57" s="8">
        <f t="shared" si="7"/>
        <v>0.70258380283066491</v>
      </c>
      <c r="AC57" s="7">
        <f t="shared" si="8"/>
        <v>0.22489878451685816</v>
      </c>
      <c r="AD57" s="5">
        <f t="shared" si="1"/>
        <v>2.4214161971693353</v>
      </c>
      <c r="AE57" s="5">
        <f t="shared" si="2"/>
        <v>3.8265838028306649</v>
      </c>
    </row>
    <row r="58" spans="1:31" ht="111" customHeight="1" x14ac:dyDescent="0.3">
      <c r="A58" s="26">
        <v>54</v>
      </c>
      <c r="B58" s="32">
        <f>'APÊNDICE II-MEMÓRIA DE CÁLCULO'!B59</f>
        <v>12287</v>
      </c>
      <c r="C58" s="33">
        <f>'APÊNDICE II-MEMÓRIA DE CÁLCULO'!C59</f>
        <v>427150</v>
      </c>
      <c r="D58" s="34" t="str">
        <f>'APÊNDICE II-MEMÓRIA DE CÁLCULO'!D59</f>
        <v>Cânula orofaríngea Guedel - tamanho: nº 2,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8" s="33" t="str">
        <f>'APÊNDICE II-MEMÓRIA DE CÁLCULO'!E59</f>
        <v>UNIDADE</v>
      </c>
      <c r="F58" s="35">
        <f>'APÊNDICE II-MEMÓRIA DE CÁLCULO'!L59</f>
        <v>10</v>
      </c>
      <c r="G58" s="63" t="s">
        <v>809</v>
      </c>
      <c r="H58" s="64">
        <v>1</v>
      </c>
      <c r="I58" s="67">
        <v>4.7</v>
      </c>
      <c r="J58" s="73" t="s">
        <v>810</v>
      </c>
      <c r="K58" s="66">
        <v>5</v>
      </c>
      <c r="L58" s="67">
        <v>3.73</v>
      </c>
      <c r="M58" s="63" t="s">
        <v>424</v>
      </c>
      <c r="N58" s="66">
        <v>1</v>
      </c>
      <c r="O58" s="67">
        <v>4.4000000000000004</v>
      </c>
      <c r="P58" s="68" t="s">
        <v>822</v>
      </c>
      <c r="Q58" s="66">
        <v>1</v>
      </c>
      <c r="R58" s="67">
        <v>3.5</v>
      </c>
      <c r="S58" s="68" t="s">
        <v>351</v>
      </c>
      <c r="T58" s="66">
        <v>1</v>
      </c>
      <c r="U58" s="67">
        <v>2.75</v>
      </c>
      <c r="V58" s="37">
        <f t="shared" si="3"/>
        <v>0.68791278516974486</v>
      </c>
      <c r="W58" s="58">
        <f t="shared" si="4"/>
        <v>0.18027064600884299</v>
      </c>
      <c r="X58" s="23">
        <f t="shared" si="11"/>
        <v>3.78</v>
      </c>
      <c r="Y58" s="38">
        <f t="shared" si="0"/>
        <v>37.799999999999997</v>
      </c>
      <c r="Z58" s="6">
        <f t="shared" si="5"/>
        <v>3.6150000000000002</v>
      </c>
      <c r="AA58" s="5">
        <f t="shared" si="6"/>
        <v>3.8160000000000003</v>
      </c>
      <c r="AB58" s="8">
        <f t="shared" si="7"/>
        <v>0.68791278516974486</v>
      </c>
      <c r="AC58" s="7">
        <f t="shared" si="8"/>
        <v>0.18027064600884299</v>
      </c>
      <c r="AD58" s="5">
        <f t="shared" si="1"/>
        <v>3.1280872148302556</v>
      </c>
      <c r="AE58" s="5">
        <f t="shared" si="2"/>
        <v>4.5039127851697449</v>
      </c>
    </row>
    <row r="59" spans="1:31" ht="111" customHeight="1" x14ac:dyDescent="0.3">
      <c r="A59" s="26">
        <v>55</v>
      </c>
      <c r="B59" s="32">
        <f>'APÊNDICE II-MEMÓRIA DE CÁLCULO'!B60</f>
        <v>12288</v>
      </c>
      <c r="C59" s="33">
        <f>'APÊNDICE II-MEMÓRIA DE CÁLCULO'!C60</f>
        <v>422817</v>
      </c>
      <c r="D59" s="34" t="str">
        <f>'APÊNDICE II-MEMÓRIA DE CÁLCULO'!D60</f>
        <v>Cânula orofaríngea Guedel - tamanho: nº 3,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59" s="33" t="str">
        <f>'APÊNDICE II-MEMÓRIA DE CÁLCULO'!E60</f>
        <v>UNIDADE</v>
      </c>
      <c r="F59" s="35">
        <f>'APÊNDICE II-MEMÓRIA DE CÁLCULO'!L60</f>
        <v>10</v>
      </c>
      <c r="G59" s="63" t="s">
        <v>809</v>
      </c>
      <c r="H59" s="64">
        <v>1</v>
      </c>
      <c r="I59" s="65">
        <v>2.9</v>
      </c>
      <c r="J59" s="73" t="s">
        <v>810</v>
      </c>
      <c r="K59" s="64">
        <v>7</v>
      </c>
      <c r="L59" s="65">
        <v>3.38</v>
      </c>
      <c r="M59" s="63" t="s">
        <v>425</v>
      </c>
      <c r="N59" s="66">
        <v>1</v>
      </c>
      <c r="O59" s="67">
        <v>4.1500000000000004</v>
      </c>
      <c r="P59" s="68" t="s">
        <v>349</v>
      </c>
      <c r="Q59" s="66">
        <v>1</v>
      </c>
      <c r="R59" s="67">
        <v>2</v>
      </c>
      <c r="S59" s="68" t="s">
        <v>351</v>
      </c>
      <c r="T59" s="66">
        <v>1</v>
      </c>
      <c r="U59" s="67">
        <v>2.75</v>
      </c>
      <c r="V59" s="37">
        <f t="shared" si="3"/>
        <v>0.71174714611300094</v>
      </c>
      <c r="W59" s="58">
        <f t="shared" si="4"/>
        <v>0.23443581887780005</v>
      </c>
      <c r="X59" s="23">
        <f t="shared" si="11"/>
        <v>3.22</v>
      </c>
      <c r="Y59" s="38">
        <f t="shared" si="0"/>
        <v>32.200000000000003</v>
      </c>
      <c r="Z59" s="6">
        <f t="shared" si="5"/>
        <v>2.8250000000000002</v>
      </c>
      <c r="AA59" s="5">
        <f t="shared" si="6"/>
        <v>3.036</v>
      </c>
      <c r="AB59" s="8">
        <f t="shared" si="7"/>
        <v>0.71174714611300094</v>
      </c>
      <c r="AC59" s="7">
        <f t="shared" si="8"/>
        <v>0.23443581887780005</v>
      </c>
      <c r="AD59" s="5">
        <f t="shared" si="1"/>
        <v>2.3242528538869989</v>
      </c>
      <c r="AE59" s="5">
        <f t="shared" si="2"/>
        <v>3.7477471461130012</v>
      </c>
    </row>
    <row r="60" spans="1:31" ht="111" customHeight="1" x14ac:dyDescent="0.3">
      <c r="A60" s="26">
        <v>56</v>
      </c>
      <c r="B60" s="32">
        <f>'APÊNDICE II-MEMÓRIA DE CÁLCULO'!B61</f>
        <v>12289</v>
      </c>
      <c r="C60" s="33">
        <f>'APÊNDICE II-MEMÓRIA DE CÁLCULO'!C61</f>
        <v>422820</v>
      </c>
      <c r="D60" s="34" t="str">
        <f>'APÊNDICE II-MEMÓRIA DE CÁLCULO'!D61</f>
        <v>Cânula orofaríngea Guedel - tamanho: nº 4,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60" s="33" t="str">
        <f>'APÊNDICE II-MEMÓRIA DE CÁLCULO'!E61</f>
        <v>UNIDADE</v>
      </c>
      <c r="F60" s="35">
        <f>'APÊNDICE II-MEMÓRIA DE CÁLCULO'!L61</f>
        <v>10</v>
      </c>
      <c r="G60" s="63" t="s">
        <v>809</v>
      </c>
      <c r="H60" s="64">
        <v>1</v>
      </c>
      <c r="I60" s="65">
        <v>3.1</v>
      </c>
      <c r="J60" s="73" t="s">
        <v>810</v>
      </c>
      <c r="K60" s="64">
        <v>6</v>
      </c>
      <c r="L60" s="65">
        <v>2.79</v>
      </c>
      <c r="M60" s="63" t="s">
        <v>426</v>
      </c>
      <c r="N60" s="66">
        <v>1</v>
      </c>
      <c r="O60" s="67">
        <v>4</v>
      </c>
      <c r="P60" s="68" t="s">
        <v>351</v>
      </c>
      <c r="Q60" s="66">
        <v>1</v>
      </c>
      <c r="R60" s="67">
        <v>2.75</v>
      </c>
      <c r="S60" s="68" t="s">
        <v>365</v>
      </c>
      <c r="T60" s="66">
        <v>1</v>
      </c>
      <c r="U60" s="67">
        <v>3.38</v>
      </c>
      <c r="V60" s="37">
        <f t="shared" si="3"/>
        <v>0.45889432334688879</v>
      </c>
      <c r="W60" s="58">
        <f t="shared" si="4"/>
        <v>0.14322544424060202</v>
      </c>
      <c r="X60" s="23">
        <f t="shared" si="11"/>
        <v>3</v>
      </c>
      <c r="Y60" s="38">
        <f t="shared" si="0"/>
        <v>30</v>
      </c>
      <c r="Z60" s="6">
        <f t="shared" si="5"/>
        <v>2.9450000000000003</v>
      </c>
      <c r="AA60" s="5">
        <f t="shared" si="6"/>
        <v>3.2039999999999997</v>
      </c>
      <c r="AB60" s="8">
        <f t="shared" si="7"/>
        <v>0.45889432334688879</v>
      </c>
      <c r="AC60" s="7">
        <f t="shared" si="8"/>
        <v>0.14322544424060202</v>
      </c>
      <c r="AD60" s="5">
        <f t="shared" si="1"/>
        <v>2.745105676653111</v>
      </c>
      <c r="AE60" s="5">
        <f t="shared" si="2"/>
        <v>3.6628943233468885</v>
      </c>
    </row>
    <row r="61" spans="1:31" ht="111" customHeight="1" x14ac:dyDescent="0.3">
      <c r="A61" s="26">
        <v>57</v>
      </c>
      <c r="B61" s="32">
        <f>'APÊNDICE II-MEMÓRIA DE CÁLCULO'!B62</f>
        <v>12296</v>
      </c>
      <c r="C61" s="33">
        <f>'APÊNDICE II-MEMÓRIA DE CÁLCULO'!C62</f>
        <v>422818</v>
      </c>
      <c r="D61" s="34" t="str">
        <f>'APÊNDICE II-MEMÓRIA DE CÁLCULO'!D62</f>
        <v>Cânula orofaríngea Guedel - tamanho: nº 5, material: PVC atóxico, características adicionais: flexibilidade e curvatura adequada, orifício central que garanta a ventilação, borda de segurança resistente a desinfecção. Embalagem com dados de identificação e procedência, registro em órgão competente e prazo de validade.</v>
      </c>
      <c r="E61" s="33" t="str">
        <f>'APÊNDICE II-MEMÓRIA DE CÁLCULO'!E62</f>
        <v>UNIDADE</v>
      </c>
      <c r="F61" s="35">
        <f>'APÊNDICE II-MEMÓRIA DE CÁLCULO'!L62</f>
        <v>10</v>
      </c>
      <c r="G61" s="63" t="s">
        <v>809</v>
      </c>
      <c r="H61" s="64">
        <v>1</v>
      </c>
      <c r="I61" s="67">
        <v>3.1</v>
      </c>
      <c r="J61" s="73" t="s">
        <v>810</v>
      </c>
      <c r="K61" s="66">
        <v>7</v>
      </c>
      <c r="L61" s="67">
        <v>3.38</v>
      </c>
      <c r="M61" s="63" t="s">
        <v>427</v>
      </c>
      <c r="N61" s="66">
        <v>1</v>
      </c>
      <c r="O61" s="67">
        <v>4.3</v>
      </c>
      <c r="P61" s="68" t="s">
        <v>351</v>
      </c>
      <c r="Q61" s="66">
        <v>1</v>
      </c>
      <c r="R61" s="67">
        <v>2.75</v>
      </c>
      <c r="S61" s="68" t="s">
        <v>365</v>
      </c>
      <c r="T61" s="66">
        <v>1</v>
      </c>
      <c r="U61" s="67">
        <v>3.38</v>
      </c>
      <c r="V61" s="37">
        <f t="shared" si="3"/>
        <v>0.5141361687335354</v>
      </c>
      <c r="W61" s="58">
        <f t="shared" si="4"/>
        <v>0.15202133906964382</v>
      </c>
      <c r="X61" s="23">
        <f t="shared" si="11"/>
        <v>3.38</v>
      </c>
      <c r="Y61" s="38">
        <f t="shared" si="0"/>
        <v>33.799999999999997</v>
      </c>
      <c r="Z61" s="6">
        <f t="shared" si="5"/>
        <v>3.24</v>
      </c>
      <c r="AA61" s="5">
        <f t="shared" si="6"/>
        <v>3.3820000000000001</v>
      </c>
      <c r="AB61" s="8">
        <f t="shared" si="7"/>
        <v>0.5141361687335354</v>
      </c>
      <c r="AC61" s="7">
        <f t="shared" si="8"/>
        <v>0.15202133906964382</v>
      </c>
      <c r="AD61" s="5">
        <f t="shared" si="1"/>
        <v>2.8678638312664648</v>
      </c>
      <c r="AE61" s="5">
        <f t="shared" si="2"/>
        <v>3.8961361687335354</v>
      </c>
    </row>
    <row r="62" spans="1:31" ht="111" customHeight="1" x14ac:dyDescent="0.3">
      <c r="A62" s="26">
        <v>58</v>
      </c>
      <c r="B62" s="32">
        <f>'APÊNDICE II-MEMÓRIA DE CÁLCULO'!B63</f>
        <v>12297</v>
      </c>
      <c r="C62" s="33">
        <f>'APÊNDICE II-MEMÓRIA DE CÁLCULO'!C63</f>
        <v>419371</v>
      </c>
      <c r="D62" s="34" t="str">
        <f>'APÊNDICE II-MEMÓRIA DE CÁLCULO'!D63</f>
        <v>Coletor de urina - tipo: sistema fechado, material: pvc, capacidade: 2.000 ML, dimensões mínimas: 1,20 M de comprimento e 0,9 cm de diâmetro interno, características adicionais: bolsa coletora confeccionada em material resistente, branco opaco na face posterior, branco transparente na face anterior, com selagem segura, com válvula anti refluxo e filtro de ar, sistema de fluxo contínuo de drenagem e esvaziamento, tubo de esvaziamento com sistema prático de fixação à bolsa, clamp de fechamento firme e seguro ao manuseio, tubo de drenagem branco transparente, firme, adaptador de sonda escalonada, confeccionado de material rígido, com alça rígida tipo óculos para fixação e tira para transporte, estéril. Embalagem individual de papel grau cirúrgico ou com filme termoplástico, contendo externamente dados de identificação e procedência, data e tipo de esterilização, prazo de validade e registro em órgão competente.</v>
      </c>
      <c r="E62" s="33" t="str">
        <f>'APÊNDICE II-MEMÓRIA DE CÁLCULO'!E63</f>
        <v>UNIDADE</v>
      </c>
      <c r="F62" s="35">
        <f>'APÊNDICE II-MEMÓRIA DE CÁLCULO'!L63</f>
        <v>775</v>
      </c>
      <c r="G62" s="63" t="s">
        <v>809</v>
      </c>
      <c r="H62" s="64">
        <v>1</v>
      </c>
      <c r="I62" s="67">
        <v>4.0999999999999996</v>
      </c>
      <c r="J62" s="73" t="s">
        <v>810</v>
      </c>
      <c r="K62" s="66">
        <v>5</v>
      </c>
      <c r="L62" s="67">
        <v>3.17</v>
      </c>
      <c r="M62" s="63" t="s">
        <v>571</v>
      </c>
      <c r="N62" s="66">
        <v>1</v>
      </c>
      <c r="O62" s="67">
        <v>3.14</v>
      </c>
      <c r="P62" s="68" t="s">
        <v>365</v>
      </c>
      <c r="Q62" s="66">
        <v>1</v>
      </c>
      <c r="R62" s="67">
        <v>4.8899999999999997</v>
      </c>
      <c r="S62" s="68" t="s">
        <v>351</v>
      </c>
      <c r="T62" s="66">
        <v>1</v>
      </c>
      <c r="U62" s="67">
        <v>5.79</v>
      </c>
      <c r="V62" s="37">
        <f t="shared" si="3"/>
        <v>1.0195175329537023</v>
      </c>
      <c r="W62" s="58">
        <f t="shared" si="4"/>
        <v>0.24170638524269855</v>
      </c>
      <c r="X62" s="23">
        <f t="shared" si="11"/>
        <v>3.75</v>
      </c>
      <c r="Y62" s="38">
        <f t="shared" si="0"/>
        <v>2906.25</v>
      </c>
      <c r="Z62" s="6">
        <f t="shared" si="5"/>
        <v>3.6349999999999998</v>
      </c>
      <c r="AA62" s="5">
        <f t="shared" si="6"/>
        <v>4.2179999999999991</v>
      </c>
      <c r="AB62" s="8">
        <f t="shared" si="7"/>
        <v>1.0195175329537023</v>
      </c>
      <c r="AC62" s="7">
        <f t="shared" si="8"/>
        <v>0.24170638524269855</v>
      </c>
      <c r="AD62" s="5"/>
      <c r="AE62" s="5"/>
    </row>
    <row r="63" spans="1:31" ht="111" customHeight="1" x14ac:dyDescent="0.3">
      <c r="A63" s="26">
        <v>59</v>
      </c>
      <c r="B63" s="32">
        <f>'APÊNDICE II-MEMÓRIA DE CÁLCULO'!B64</f>
        <v>12298</v>
      </c>
      <c r="C63" s="33">
        <f>'APÊNDICE II-MEMÓRIA DE CÁLCULO'!C64</f>
        <v>447065</v>
      </c>
      <c r="D63" s="34" t="str">
        <f>'APÊNDICE II-MEMÓRIA DE CÁLCULO'!D64</f>
        <v>Clamp umbilical - material: resina de engenharia resistente, esterilidade: estéril, descartável, características adicionais: em embalagem individual de papel grau cirúrgico, que permita abertura asséptica, contendo dados de identificação e procedência, lote, data e tipo de esterilização, prazo de validade e registro em órgão competente.</v>
      </c>
      <c r="E63" s="33" t="str">
        <f>'APÊNDICE II-MEMÓRIA DE CÁLCULO'!E64</f>
        <v>UNIDADE</v>
      </c>
      <c r="F63" s="35">
        <f>'APÊNDICE II-MEMÓRIA DE CÁLCULO'!L64</f>
        <v>200</v>
      </c>
      <c r="G63" s="63" t="s">
        <v>809</v>
      </c>
      <c r="H63" s="64">
        <v>5</v>
      </c>
      <c r="I63" s="67">
        <v>0.54</v>
      </c>
      <c r="J63" s="73" t="s">
        <v>810</v>
      </c>
      <c r="K63" s="66">
        <v>9</v>
      </c>
      <c r="L63" s="67">
        <v>0.61</v>
      </c>
      <c r="M63" s="63" t="s">
        <v>632</v>
      </c>
      <c r="N63" s="66">
        <v>1</v>
      </c>
      <c r="O63" s="67">
        <v>0.42</v>
      </c>
      <c r="P63" s="68" t="s">
        <v>389</v>
      </c>
      <c r="Q63" s="66">
        <v>1</v>
      </c>
      <c r="R63" s="67">
        <f>81.6/100</f>
        <v>0.81599999999999995</v>
      </c>
      <c r="S63" s="68" t="s">
        <v>383</v>
      </c>
      <c r="T63" s="66">
        <v>1</v>
      </c>
      <c r="U63" s="67">
        <v>0.75</v>
      </c>
      <c r="V63" s="37">
        <f t="shared" si="3"/>
        <v>0.14251792869670832</v>
      </c>
      <c r="W63" s="58">
        <f t="shared" si="4"/>
        <v>0.22722884039653751</v>
      </c>
      <c r="X63" s="23">
        <f t="shared" si="11"/>
        <v>0.6</v>
      </c>
      <c r="Y63" s="38">
        <f t="shared" si="0"/>
        <v>120</v>
      </c>
      <c r="Z63" s="6">
        <f t="shared" si="5"/>
        <v>0.57499999999999996</v>
      </c>
      <c r="AA63" s="5">
        <f t="shared" si="6"/>
        <v>0.62719999999999998</v>
      </c>
      <c r="AB63" s="8">
        <f t="shared" si="7"/>
        <v>0.14251792869670832</v>
      </c>
      <c r="AC63" s="7">
        <f t="shared" si="8"/>
        <v>0.22722884039653751</v>
      </c>
      <c r="AD63" s="5"/>
      <c r="AE63" s="5"/>
    </row>
    <row r="64" spans="1:31" ht="111" customHeight="1" x14ac:dyDescent="0.3">
      <c r="A64" s="26">
        <v>60</v>
      </c>
      <c r="B64" s="32">
        <f>'APÊNDICE II-MEMÓRIA DE CÁLCULO'!B65</f>
        <v>12300</v>
      </c>
      <c r="C64" s="33">
        <f>'APÊNDICE II-MEMÓRIA DE CÁLCULO'!C65</f>
        <v>363484</v>
      </c>
      <c r="D64" s="34" t="str">
        <f>'APÊNDICE II-MEMÓRIA DE CÁLCULO'!D65</f>
        <v>Coletor material pérfuro-cortante - tipo: caixa, material: papelão rígido, capacidade: 7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4" s="33" t="str">
        <f>'APÊNDICE II-MEMÓRIA DE CÁLCULO'!E65</f>
        <v>UNIDADE</v>
      </c>
      <c r="F64" s="35">
        <f>'APÊNDICE II-MEMÓRIA DE CÁLCULO'!L65</f>
        <v>160</v>
      </c>
      <c r="G64" s="63" t="s">
        <v>809</v>
      </c>
      <c r="H64" s="64">
        <v>11</v>
      </c>
      <c r="I64" s="67">
        <v>3.64</v>
      </c>
      <c r="J64" s="73" t="s">
        <v>810</v>
      </c>
      <c r="K64" s="66">
        <v>9</v>
      </c>
      <c r="L64" s="67">
        <v>4.1100000000000003</v>
      </c>
      <c r="M64" s="63" t="s">
        <v>572</v>
      </c>
      <c r="N64" s="66">
        <v>1</v>
      </c>
      <c r="O64" s="67">
        <v>4.1399999999999997</v>
      </c>
      <c r="P64" s="68" t="s">
        <v>351</v>
      </c>
      <c r="Q64" s="66">
        <v>1</v>
      </c>
      <c r="R64" s="67">
        <v>5.99</v>
      </c>
      <c r="S64" s="68" t="s">
        <v>391</v>
      </c>
      <c r="T64" s="66">
        <v>1</v>
      </c>
      <c r="U64" s="67">
        <v>6.39</v>
      </c>
      <c r="V64" s="37">
        <f t="shared" si="3"/>
        <v>1.1123776337197731</v>
      </c>
      <c r="W64" s="58">
        <f t="shared" si="4"/>
        <v>0.22916720925417655</v>
      </c>
      <c r="X64" s="23">
        <f t="shared" si="11"/>
        <v>4.07</v>
      </c>
      <c r="Y64" s="38">
        <f t="shared" si="0"/>
        <v>651.20000000000005</v>
      </c>
      <c r="Z64" s="6">
        <f t="shared" si="5"/>
        <v>4.125</v>
      </c>
      <c r="AA64" s="5">
        <f t="shared" si="6"/>
        <v>4.8540000000000001</v>
      </c>
      <c r="AB64" s="8">
        <f t="shared" si="7"/>
        <v>1.1123776337197731</v>
      </c>
      <c r="AC64" s="7">
        <f t="shared" si="8"/>
        <v>0.22916720925417655</v>
      </c>
      <c r="AD64" s="5"/>
      <c r="AE64" s="5"/>
    </row>
    <row r="65" spans="1:31" ht="111" customHeight="1" x14ac:dyDescent="0.3">
      <c r="A65" s="26">
        <v>61</v>
      </c>
      <c r="B65" s="32">
        <f>'APÊNDICE II-MEMÓRIA DE CÁLCULO'!B66</f>
        <v>12301</v>
      </c>
      <c r="C65" s="33">
        <f>'APÊNDICE II-MEMÓRIA DE CÁLCULO'!C66</f>
        <v>363482</v>
      </c>
      <c r="D65" s="34" t="str">
        <f>'APÊNDICE II-MEMÓRIA DE CÁLCULO'!D66</f>
        <v>Coletor material pérfuro-cortante - tipo: caixa, material: papelão rígido, capacidade: 13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5" s="33" t="str">
        <f>'APÊNDICE II-MEMÓRIA DE CÁLCULO'!E66</f>
        <v>UNIDADE</v>
      </c>
      <c r="F65" s="35">
        <f>'APÊNDICE II-MEMÓRIA DE CÁLCULO'!L66</f>
        <v>300</v>
      </c>
      <c r="G65" s="63" t="s">
        <v>809</v>
      </c>
      <c r="H65" s="64">
        <v>2</v>
      </c>
      <c r="I65" s="67">
        <v>8.9499999999999993</v>
      </c>
      <c r="J65" s="73" t="s">
        <v>810</v>
      </c>
      <c r="K65" s="66">
        <v>14</v>
      </c>
      <c r="L65" s="67">
        <v>8.81</v>
      </c>
      <c r="M65" s="63" t="s">
        <v>428</v>
      </c>
      <c r="N65" s="66">
        <v>1</v>
      </c>
      <c r="O65" s="67">
        <v>5.15</v>
      </c>
      <c r="P65" s="68" t="s">
        <v>351</v>
      </c>
      <c r="Q65" s="66">
        <v>1</v>
      </c>
      <c r="R65" s="67">
        <v>8.5</v>
      </c>
      <c r="S65" s="68" t="s">
        <v>382</v>
      </c>
      <c r="T65" s="66">
        <v>1</v>
      </c>
      <c r="U65" s="67">
        <v>11.9</v>
      </c>
      <c r="V65" s="37">
        <f t="shared" si="3"/>
        <v>2.1424229274351965</v>
      </c>
      <c r="W65" s="58">
        <f t="shared" si="4"/>
        <v>0.24733582630283957</v>
      </c>
      <c r="X65" s="23">
        <f t="shared" si="11"/>
        <v>8.7799999999999994</v>
      </c>
      <c r="Y65" s="38">
        <f t="shared" si="0"/>
        <v>2634</v>
      </c>
      <c r="Z65" s="6">
        <f t="shared" si="5"/>
        <v>8.6550000000000011</v>
      </c>
      <c r="AA65" s="5">
        <f t="shared" si="6"/>
        <v>8.6620000000000008</v>
      </c>
      <c r="AB65" s="8">
        <f t="shared" si="7"/>
        <v>2.1424229274351965</v>
      </c>
      <c r="AC65" s="7">
        <f t="shared" si="8"/>
        <v>0.24733582630283957</v>
      </c>
      <c r="AD65" s="5"/>
      <c r="AE65" s="5"/>
    </row>
    <row r="66" spans="1:31" ht="111" customHeight="1" x14ac:dyDescent="0.3">
      <c r="A66" s="26">
        <v>62</v>
      </c>
      <c r="B66" s="32">
        <f>'APÊNDICE II-MEMÓRIA DE CÁLCULO'!B67</f>
        <v>12302</v>
      </c>
      <c r="C66" s="33">
        <f>'APÊNDICE II-MEMÓRIA DE CÁLCULO'!C67</f>
        <v>363485</v>
      </c>
      <c r="D66" s="34" t="str">
        <f>'APÊNDICE II-MEMÓRIA DE CÁLCULO'!D67</f>
        <v>Coletor material pérfuro-cortante - tipo: caixa, material: papelão rígido, capacidade: 20 litros, tipo uso: descartável, características adicionais: fabricada dentro das normas atuais da NBR 13853, alça dupla para transporte, trava de segurança, embalagem contendo externamente dados de identificação, informações, procedência, lote e registro em órgão competente.</v>
      </c>
      <c r="E66" s="33" t="str">
        <f>'APÊNDICE II-MEMÓRIA DE CÁLCULO'!E67</f>
        <v>UNIDADE</v>
      </c>
      <c r="F66" s="35">
        <f>'APÊNDICE II-MEMÓRIA DE CÁLCULO'!L67</f>
        <v>1100</v>
      </c>
      <c r="G66" s="63" t="s">
        <v>809</v>
      </c>
      <c r="H66" s="64">
        <v>1</v>
      </c>
      <c r="I66" s="67">
        <v>10</v>
      </c>
      <c r="J66" s="73" t="s">
        <v>810</v>
      </c>
      <c r="K66" s="66">
        <v>6</v>
      </c>
      <c r="L66" s="67">
        <v>13.19</v>
      </c>
      <c r="M66" s="63" t="s">
        <v>429</v>
      </c>
      <c r="N66" s="66">
        <v>1</v>
      </c>
      <c r="O66" s="67">
        <v>6.5</v>
      </c>
      <c r="P66" s="68" t="s">
        <v>382</v>
      </c>
      <c r="Q66" s="66">
        <v>1</v>
      </c>
      <c r="R66" s="67">
        <v>13.9</v>
      </c>
      <c r="S66" s="68" t="s">
        <v>351</v>
      </c>
      <c r="T66" s="66">
        <v>1</v>
      </c>
      <c r="U66" s="67">
        <v>14.9</v>
      </c>
      <c r="V66" s="37">
        <f t="shared" si="3"/>
        <v>3.0734371638281521</v>
      </c>
      <c r="W66" s="58">
        <f t="shared" si="4"/>
        <v>0.26273184850642439</v>
      </c>
      <c r="X66" s="23">
        <f t="shared" si="11"/>
        <v>12.44</v>
      </c>
      <c r="Y66" s="38">
        <f t="shared" si="0"/>
        <v>13684</v>
      </c>
      <c r="Z66" s="6">
        <f t="shared" si="5"/>
        <v>11.594999999999999</v>
      </c>
      <c r="AA66" s="5">
        <f t="shared" si="6"/>
        <v>11.697999999999999</v>
      </c>
      <c r="AB66" s="8">
        <f t="shared" si="7"/>
        <v>3.0734371638281521</v>
      </c>
      <c r="AC66" s="7">
        <f t="shared" si="8"/>
        <v>0.26273184850642439</v>
      </c>
      <c r="AD66" s="5"/>
      <c r="AE66" s="5"/>
    </row>
    <row r="67" spans="1:31" ht="111" customHeight="1" x14ac:dyDescent="0.3">
      <c r="A67" s="26">
        <v>63</v>
      </c>
      <c r="B67" s="32">
        <f>'APÊNDICE II-MEMÓRIA DE CÁLCULO'!B68</f>
        <v>12304</v>
      </c>
      <c r="C67" s="33">
        <f>'APÊNDICE II-MEMÓRIA DE CÁLCULO'!C68</f>
        <v>439214</v>
      </c>
      <c r="D67" s="34" t="str">
        <f>'APÊNDICE II-MEMÓRIA DE CÁLCULO'!D68</f>
        <v>Cuba uso hospitalar - formato: tipo rim, dimensões: 26 x 12 cm, material: aço inoxidável, capacidade: 700 ml, características adicionais: embalagem constando os dados de identificação e registro em órgão competente.</v>
      </c>
      <c r="E67" s="33" t="str">
        <f>'APÊNDICE II-MEMÓRIA DE CÁLCULO'!E68</f>
        <v>UNIDADE</v>
      </c>
      <c r="F67" s="35">
        <f>'APÊNDICE II-MEMÓRIA DE CÁLCULO'!L68</f>
        <v>15</v>
      </c>
      <c r="G67" s="63" t="s">
        <v>809</v>
      </c>
      <c r="H67" s="64">
        <v>4</v>
      </c>
      <c r="I67" s="67">
        <v>55.82</v>
      </c>
      <c r="J67" s="73" t="s">
        <v>810</v>
      </c>
      <c r="K67" s="66">
        <v>3</v>
      </c>
      <c r="L67" s="67">
        <v>49.67</v>
      </c>
      <c r="M67" s="63" t="s">
        <v>513</v>
      </c>
      <c r="N67" s="66">
        <v>1</v>
      </c>
      <c r="O67" s="67">
        <v>84.6</v>
      </c>
      <c r="P67" s="68" t="s">
        <v>392</v>
      </c>
      <c r="Q67" s="66">
        <v>1</v>
      </c>
      <c r="R67" s="67">
        <v>57.9</v>
      </c>
      <c r="S67" s="68" t="s">
        <v>351</v>
      </c>
      <c r="T67" s="66">
        <v>1</v>
      </c>
      <c r="U67" s="67">
        <v>61.9</v>
      </c>
      <c r="V67" s="37">
        <f t="shared" si="3"/>
        <v>11.981643292971144</v>
      </c>
      <c r="W67" s="58">
        <f t="shared" si="4"/>
        <v>0.19332090891882839</v>
      </c>
      <c r="X67" s="23">
        <f t="shared" si="11"/>
        <v>57.67</v>
      </c>
      <c r="Y67" s="38">
        <f t="shared" si="0"/>
        <v>865.05000000000007</v>
      </c>
      <c r="Z67" s="6">
        <f t="shared" si="5"/>
        <v>56.86</v>
      </c>
      <c r="AA67" s="5">
        <f t="shared" si="6"/>
        <v>61.977999999999994</v>
      </c>
      <c r="AB67" s="8">
        <f t="shared" si="7"/>
        <v>11.981643292971144</v>
      </c>
      <c r="AC67" s="7">
        <f t="shared" si="8"/>
        <v>0.19332090891882839</v>
      </c>
      <c r="AD67" s="5"/>
      <c r="AE67" s="5"/>
    </row>
    <row r="68" spans="1:31" ht="111" customHeight="1" x14ac:dyDescent="0.3">
      <c r="A68" s="26">
        <v>64</v>
      </c>
      <c r="B68" s="32">
        <f>'APÊNDICE II-MEMÓRIA DE CÁLCULO'!B69</f>
        <v>12306</v>
      </c>
      <c r="C68" s="33">
        <f>'APÊNDICE II-MEMÓRIA DE CÁLCULO'!C69</f>
        <v>432208</v>
      </c>
      <c r="D68" s="34" t="str">
        <f>'APÊNDICE II-MEMÓRIA DE CÁLCULO'!D69</f>
        <v>Cobertura para óbito - material: polietileno de baixa densidade (PEBD), tamanho: pequeno, características adicionais: com zíper frontal por toda sua extensão, utilizado para envolver o cadáver, isolando-o do contato com o ambiente para evitar contaminação.</v>
      </c>
      <c r="E68" s="33" t="str">
        <f>'APÊNDICE II-MEMÓRIA DE CÁLCULO'!E69</f>
        <v>UNIDADE</v>
      </c>
      <c r="F68" s="35">
        <f>'APÊNDICE II-MEMÓRIA DE CÁLCULO'!L69</f>
        <v>50</v>
      </c>
      <c r="G68" s="63" t="s">
        <v>809</v>
      </c>
      <c r="H68" s="64">
        <v>9</v>
      </c>
      <c r="I68" s="67">
        <v>14.41</v>
      </c>
      <c r="J68" s="73" t="s">
        <v>810</v>
      </c>
      <c r="K68" s="66">
        <v>3</v>
      </c>
      <c r="L68" s="67">
        <v>10.45</v>
      </c>
      <c r="M68" s="63" t="s">
        <v>544</v>
      </c>
      <c r="N68" s="66">
        <v>1</v>
      </c>
      <c r="O68" s="67">
        <v>11.27</v>
      </c>
      <c r="P68" s="68" t="s">
        <v>393</v>
      </c>
      <c r="Q68" s="66">
        <v>1</v>
      </c>
      <c r="R68" s="67">
        <v>9.4499999999999993</v>
      </c>
      <c r="S68" s="68" t="s">
        <v>394</v>
      </c>
      <c r="T68" s="66">
        <v>1</v>
      </c>
      <c r="U68" s="67">
        <v>10.07</v>
      </c>
      <c r="V68" s="37">
        <f t="shared" si="3"/>
        <v>1.7427793893663104</v>
      </c>
      <c r="W68" s="58">
        <f t="shared" si="4"/>
        <v>0.15658395232401712</v>
      </c>
      <c r="X68" s="23">
        <f t="shared" si="11"/>
        <v>12.79</v>
      </c>
      <c r="Y68" s="38">
        <f t="shared" si="0"/>
        <v>639.5</v>
      </c>
      <c r="Z68" s="6">
        <f t="shared" si="5"/>
        <v>10.26</v>
      </c>
      <c r="AA68" s="5">
        <f t="shared" si="6"/>
        <v>11.129999999999999</v>
      </c>
      <c r="AB68" s="8">
        <f t="shared" si="7"/>
        <v>1.7427793893663104</v>
      </c>
      <c r="AC68" s="7">
        <f t="shared" si="8"/>
        <v>0.15658395232401712</v>
      </c>
      <c r="AD68" s="5"/>
      <c r="AE68" s="5"/>
    </row>
    <row r="69" spans="1:31" ht="111" customHeight="1" x14ac:dyDescent="0.3">
      <c r="A69" s="26">
        <v>65</v>
      </c>
      <c r="B69" s="32">
        <f>'APÊNDICE II-MEMÓRIA DE CÁLCULO'!B70</f>
        <v>12307</v>
      </c>
      <c r="C69" s="33">
        <f>'APÊNDICE II-MEMÓRIA DE CÁLCULO'!C70</f>
        <v>432182</v>
      </c>
      <c r="D69" s="34" t="str">
        <f>'APÊNDICE II-MEMÓRIA DE CÁLCULO'!D70</f>
        <v>Cobertura para óbito - material: polietileno de baixa densidade (PEBD), tamanho: médio, características adicionais: com zíper frontal por toda sua extensão, utilizado para envolver o cadáver, isolando-o do contato com o ambiente para evitar contaminação.</v>
      </c>
      <c r="E69" s="33" t="str">
        <f>'APÊNDICE II-MEMÓRIA DE CÁLCULO'!E70</f>
        <v>UNIDADE</v>
      </c>
      <c r="F69" s="35">
        <f>'APÊNDICE II-MEMÓRIA DE CÁLCULO'!L70</f>
        <v>150</v>
      </c>
      <c r="G69" s="63" t="s">
        <v>809</v>
      </c>
      <c r="H69" s="64">
        <v>1</v>
      </c>
      <c r="I69" s="67">
        <v>11.92</v>
      </c>
      <c r="J69" s="73" t="s">
        <v>810</v>
      </c>
      <c r="K69" s="66">
        <v>1</v>
      </c>
      <c r="L69" s="67">
        <v>10.5</v>
      </c>
      <c r="M69" s="63" t="s">
        <v>545</v>
      </c>
      <c r="N69" s="66">
        <v>1</v>
      </c>
      <c r="O69" s="67">
        <v>12.5</v>
      </c>
      <c r="P69" s="68" t="s">
        <v>395</v>
      </c>
      <c r="Q69" s="66">
        <v>1</v>
      </c>
      <c r="R69" s="67">
        <v>11.71</v>
      </c>
      <c r="S69" s="68" t="s">
        <v>393</v>
      </c>
      <c r="T69" s="66">
        <v>1</v>
      </c>
      <c r="U69" s="67">
        <v>12.2</v>
      </c>
      <c r="V69" s="37">
        <f t="shared" si="3"/>
        <v>0.68654497303527018</v>
      </c>
      <c r="W69" s="58">
        <f t="shared" si="4"/>
        <v>5.8349904218533928E-2</v>
      </c>
      <c r="X69" s="23">
        <f t="shared" si="11"/>
        <v>11.77</v>
      </c>
      <c r="Y69" s="38">
        <f t="shared" ref="Y69:Y132" si="12">X69*F69</f>
        <v>1765.5</v>
      </c>
      <c r="Z69" s="6">
        <f t="shared" si="5"/>
        <v>11.815000000000001</v>
      </c>
      <c r="AA69" s="5">
        <f t="shared" si="6"/>
        <v>11.766</v>
      </c>
      <c r="AB69" s="8">
        <f t="shared" si="7"/>
        <v>0.68654497303527018</v>
      </c>
      <c r="AC69" s="7">
        <f t="shared" si="8"/>
        <v>5.8349904218533928E-2</v>
      </c>
      <c r="AD69" s="5"/>
      <c r="AE69" s="5"/>
    </row>
    <row r="70" spans="1:31" ht="111" customHeight="1" x14ac:dyDescent="0.3">
      <c r="A70" s="26">
        <v>66</v>
      </c>
      <c r="B70" s="32">
        <f>'APÊNDICE II-MEMÓRIA DE CÁLCULO'!B71</f>
        <v>12308</v>
      </c>
      <c r="C70" s="33">
        <f>'APÊNDICE II-MEMÓRIA DE CÁLCULO'!C71</f>
        <v>382524</v>
      </c>
      <c r="D70" s="34" t="str">
        <f>'APÊNDICE II-MEMÓRIA DE CÁLCULO'!D71</f>
        <v>Cobetura para óbito - material: polietileno de baixa densidade (PEBD), tamanho: grande,características adicionais: com zíper frontal por toda sua extensão, utilizado para envolver o cadáver, isolando-o do contato com o ambiente para evitar contaminação.</v>
      </c>
      <c r="E70" s="33" t="str">
        <f>'APÊNDICE II-MEMÓRIA DE CÁLCULO'!E71</f>
        <v>UNIDADE</v>
      </c>
      <c r="F70" s="35">
        <f>'APÊNDICE II-MEMÓRIA DE CÁLCULO'!L71</f>
        <v>200</v>
      </c>
      <c r="G70" s="63" t="s">
        <v>809</v>
      </c>
      <c r="H70" s="64">
        <v>1</v>
      </c>
      <c r="I70" s="67">
        <v>11.92</v>
      </c>
      <c r="J70" s="73" t="s">
        <v>810</v>
      </c>
      <c r="K70" s="66">
        <v>1</v>
      </c>
      <c r="L70" s="67">
        <v>14.47</v>
      </c>
      <c r="M70" s="63" t="s">
        <v>546</v>
      </c>
      <c r="N70" s="66">
        <v>1</v>
      </c>
      <c r="O70" s="67">
        <v>17.100000000000001</v>
      </c>
      <c r="P70" s="68" t="s">
        <v>395</v>
      </c>
      <c r="Q70" s="66">
        <v>1</v>
      </c>
      <c r="R70" s="67">
        <v>19.37</v>
      </c>
      <c r="S70" s="68" t="s">
        <v>351</v>
      </c>
      <c r="T70" s="66">
        <v>1</v>
      </c>
      <c r="U70" s="67">
        <f>399.9/25</f>
        <v>15.995999999999999</v>
      </c>
      <c r="V70" s="37">
        <f t="shared" ref="V70:V133" si="13">AB70</f>
        <v>2.5016981752401817</v>
      </c>
      <c r="W70" s="58">
        <f t="shared" ref="W70:W133" si="14">AC70</f>
        <v>0.1586244658136465</v>
      </c>
      <c r="X70" s="23">
        <f t="shared" si="11"/>
        <v>15.77</v>
      </c>
      <c r="Y70" s="38">
        <f t="shared" si="12"/>
        <v>3154</v>
      </c>
      <c r="Z70" s="6">
        <f t="shared" ref="Z70:Z133" si="15">MEDIAN(L70,I70,O70,R70,U70,)</f>
        <v>15.233000000000001</v>
      </c>
      <c r="AA70" s="5">
        <f t="shared" ref="AA70:AA133" si="16">AVERAGE(I70,O70,R70,U70,L70)</f>
        <v>15.771199999999999</v>
      </c>
      <c r="AB70" s="8">
        <f t="shared" ref="AB70:AB133" si="17">_xlfn.STDEV.P(I70,O70,R70,U70,L70)</f>
        <v>2.5016981752401817</v>
      </c>
      <c r="AC70" s="7">
        <f t="shared" ref="AC70:AC133" si="18">AB70/AA70</f>
        <v>0.1586244658136465</v>
      </c>
      <c r="AD70" s="5"/>
      <c r="AE70" s="5"/>
    </row>
    <row r="71" spans="1:31" ht="111" customHeight="1" x14ac:dyDescent="0.3">
      <c r="A71" s="26">
        <v>67</v>
      </c>
      <c r="B71" s="32">
        <f>'APÊNDICE II-MEMÓRIA DE CÁLCULO'!B72</f>
        <v>12309</v>
      </c>
      <c r="C71" s="33">
        <f>'APÊNDICE II-MEMÓRIA DE CÁLCULO'!C72</f>
        <v>385252</v>
      </c>
      <c r="D71" s="34" t="str">
        <f>'APÊNDICE II-MEMÓRIA DE CÁLCULO'!D72</f>
        <v>Cobertura para óbito - material: polietileno de baixa densidade (PEBD), tamanho: GG, características adicionais: com zíper frontal por toda sua extensão, utilizado para envolver o cadáver, isolando-o do contato com o ambiente para evitar contaminação.</v>
      </c>
      <c r="E71" s="33" t="str">
        <f>'APÊNDICE II-MEMÓRIA DE CÁLCULO'!E72</f>
        <v>UNIDADE</v>
      </c>
      <c r="F71" s="35">
        <f>'APÊNDICE II-MEMÓRIA DE CÁLCULO'!L72</f>
        <v>200</v>
      </c>
      <c r="G71" s="63" t="s">
        <v>809</v>
      </c>
      <c r="H71" s="64">
        <v>1</v>
      </c>
      <c r="I71" s="67">
        <v>11.92</v>
      </c>
      <c r="J71" s="73" t="s">
        <v>810</v>
      </c>
      <c r="K71" s="66">
        <v>1</v>
      </c>
      <c r="L71" s="67">
        <v>14.85</v>
      </c>
      <c r="M71" s="63" t="s">
        <v>547</v>
      </c>
      <c r="N71" s="66">
        <v>1</v>
      </c>
      <c r="O71" s="67">
        <v>17.5</v>
      </c>
      <c r="P71" s="68" t="s">
        <v>395</v>
      </c>
      <c r="Q71" s="66">
        <v>1</v>
      </c>
      <c r="R71" s="67">
        <v>19.329999999999998</v>
      </c>
      <c r="S71" s="68" t="s">
        <v>351</v>
      </c>
      <c r="T71" s="66">
        <v>1</v>
      </c>
      <c r="U71" s="67">
        <f>539.9/25</f>
        <v>21.596</v>
      </c>
      <c r="V71" s="37">
        <f t="shared" si="13"/>
        <v>3.3829966834154606</v>
      </c>
      <c r="W71" s="58">
        <f t="shared" si="14"/>
        <v>0.19854199043473053</v>
      </c>
      <c r="X71" s="23">
        <f t="shared" si="11"/>
        <v>17.04</v>
      </c>
      <c r="Y71" s="38">
        <f t="shared" si="12"/>
        <v>3408</v>
      </c>
      <c r="Z71" s="6">
        <f t="shared" si="15"/>
        <v>16.175000000000001</v>
      </c>
      <c r="AA71" s="5">
        <f t="shared" si="16"/>
        <v>17.039200000000001</v>
      </c>
      <c r="AB71" s="8">
        <f t="shared" si="17"/>
        <v>3.3829966834154606</v>
      </c>
      <c r="AC71" s="7">
        <f t="shared" si="18"/>
        <v>0.19854199043473053</v>
      </c>
      <c r="AD71" s="5"/>
      <c r="AE71" s="5"/>
    </row>
    <row r="72" spans="1:31" ht="111" customHeight="1" x14ac:dyDescent="0.3">
      <c r="A72" s="26">
        <v>68</v>
      </c>
      <c r="B72" s="32">
        <f>'APÊNDICE II-MEMÓRIA DE CÁLCULO'!B73</f>
        <v>12310</v>
      </c>
      <c r="C72" s="33">
        <f>'APÊNDICE II-MEMÓRIA DE CÁLCULO'!C73</f>
        <v>419399</v>
      </c>
      <c r="D72" s="34" t="str">
        <f>'APÊNDICE II-MEMÓRIA DE CÁLCULO'!D73</f>
        <v xml:space="preserve">Coletor de urina - tipo: sistema aberto, capacidade: 2 L, material: plástico, esterilidade: não estéril. </v>
      </c>
      <c r="E72" s="33" t="str">
        <f>'APÊNDICE II-MEMÓRIA DE CÁLCULO'!E73</f>
        <v>UNIDADE</v>
      </c>
      <c r="F72" s="35">
        <f>'APÊNDICE II-MEMÓRIA DE CÁLCULO'!L73</f>
        <v>250</v>
      </c>
      <c r="G72" s="63" t="s">
        <v>809</v>
      </c>
      <c r="H72" s="64">
        <v>1</v>
      </c>
      <c r="I72" s="67">
        <v>0.6</v>
      </c>
      <c r="J72" s="73" t="s">
        <v>810</v>
      </c>
      <c r="K72" s="66">
        <v>2</v>
      </c>
      <c r="L72" s="67">
        <v>0.42</v>
      </c>
      <c r="M72" s="63" t="s">
        <v>430</v>
      </c>
      <c r="N72" s="66">
        <v>1</v>
      </c>
      <c r="O72" s="67">
        <v>0.82</v>
      </c>
      <c r="P72" s="68" t="s">
        <v>396</v>
      </c>
      <c r="Q72" s="66">
        <v>1</v>
      </c>
      <c r="R72" s="67">
        <v>0.83</v>
      </c>
      <c r="S72" s="68" t="s">
        <v>397</v>
      </c>
      <c r="T72" s="66">
        <v>1</v>
      </c>
      <c r="U72" s="67">
        <v>1</v>
      </c>
      <c r="V72" s="37">
        <f t="shared" si="13"/>
        <v>0.20195048898182946</v>
      </c>
      <c r="W72" s="58">
        <f t="shared" si="14"/>
        <v>0.2751369059697949</v>
      </c>
      <c r="X72" s="23">
        <f t="shared" si="11"/>
        <v>0.68</v>
      </c>
      <c r="Y72" s="38">
        <f t="shared" si="12"/>
        <v>170</v>
      </c>
      <c r="Z72" s="6">
        <f t="shared" si="15"/>
        <v>0.71</v>
      </c>
      <c r="AA72" s="5">
        <f t="shared" si="16"/>
        <v>0.73399999999999999</v>
      </c>
      <c r="AB72" s="8">
        <f t="shared" si="17"/>
        <v>0.20195048898182946</v>
      </c>
      <c r="AC72" s="7">
        <f t="shared" si="18"/>
        <v>0.2751369059697949</v>
      </c>
      <c r="AD72" s="5"/>
      <c r="AE72" s="5"/>
    </row>
    <row r="73" spans="1:31" ht="111" customHeight="1" x14ac:dyDescent="0.3">
      <c r="A73" s="26">
        <v>69</v>
      </c>
      <c r="B73" s="32">
        <f>'APÊNDICE II-MEMÓRIA DE CÁLCULO'!B74</f>
        <v>12311</v>
      </c>
      <c r="C73" s="33">
        <f>'APÊNDICE II-MEMÓRIA DE CÁLCULO'!C74</f>
        <v>427234</v>
      </c>
      <c r="D73" s="34" t="str">
        <f>'APÊNDICE II-MEMÓRIA DE CÁLCULO'!D74</f>
        <v>Capacete oxigenoterapia - tipo: hood, material: acrílico transparente, uso: pediátrico, tamanho: 20 x 21 CM, 3,18 KG, características adicionais: para terapia de oxigênio em crianças com déficit de oxigênio, utilizado em situações de falta de incubadora. Na embalagem deverá estar impresso dados de identificação, procedência, data de fabricação, prazo de validade e registro na anvisa.</v>
      </c>
      <c r="E73" s="33" t="str">
        <f>'APÊNDICE II-MEMÓRIA DE CÁLCULO'!E74</f>
        <v>UNIDADE</v>
      </c>
      <c r="F73" s="35">
        <f>'APÊNDICE II-MEMÓRIA DE CÁLCULO'!L74</f>
        <v>1</v>
      </c>
      <c r="G73" s="63" t="s">
        <v>809</v>
      </c>
      <c r="H73" s="64">
        <v>7</v>
      </c>
      <c r="I73" s="67">
        <v>312.27</v>
      </c>
      <c r="J73" s="73" t="s">
        <v>810</v>
      </c>
      <c r="K73" s="66">
        <v>1</v>
      </c>
      <c r="L73" s="67">
        <v>398.89</v>
      </c>
      <c r="M73" s="40" t="s">
        <v>31</v>
      </c>
      <c r="N73" s="55" t="s">
        <v>31</v>
      </c>
      <c r="O73" s="37" t="s">
        <v>31</v>
      </c>
      <c r="P73" s="68" t="s">
        <v>398</v>
      </c>
      <c r="Q73" s="66">
        <v>1</v>
      </c>
      <c r="R73" s="67">
        <v>477.95</v>
      </c>
      <c r="S73" s="68" t="s">
        <v>399</v>
      </c>
      <c r="T73" s="66">
        <v>1</v>
      </c>
      <c r="U73" s="67">
        <v>468</v>
      </c>
      <c r="V73" s="37">
        <f t="shared" si="13"/>
        <v>66.299697350364696</v>
      </c>
      <c r="W73" s="58">
        <f t="shared" si="14"/>
        <v>0.16003692537095229</v>
      </c>
      <c r="X73" s="23">
        <f>ROUND(SUM(I73*H73,L73*K73,R73*Q73,U73*T73,)/SUM(H73,K73,Q73,T73,),2)</f>
        <v>353.07</v>
      </c>
      <c r="Y73" s="38">
        <f t="shared" si="12"/>
        <v>353.07</v>
      </c>
      <c r="Z73" s="6">
        <f t="shared" si="15"/>
        <v>398.89</v>
      </c>
      <c r="AA73" s="5">
        <f t="shared" si="16"/>
        <v>414.27750000000003</v>
      </c>
      <c r="AB73" s="8">
        <f t="shared" si="17"/>
        <v>66.299697350364696</v>
      </c>
      <c r="AC73" s="7">
        <f t="shared" si="18"/>
        <v>0.16003692537095229</v>
      </c>
      <c r="AD73" s="5"/>
      <c r="AE73" s="5"/>
    </row>
    <row r="74" spans="1:31" ht="111" customHeight="1" x14ac:dyDescent="0.3">
      <c r="A74" s="26">
        <v>70</v>
      </c>
      <c r="B74" s="32">
        <f>'APÊNDICE II-MEMÓRIA DE CÁLCULO'!B75</f>
        <v>12312</v>
      </c>
      <c r="C74" s="33" t="str">
        <f>'APÊNDICE II-MEMÓRIA DE CÁLCULO'!C75</f>
        <v>-</v>
      </c>
      <c r="D74" s="34" t="str">
        <f>'APÊNDICE II-MEMÓRIA DE CÁLCULO'!D75</f>
        <v>Cadarço - tipo: sarjado, material: 100% algodão, medidas: 10mm de largura e 10m de comprimento, uso: para fixação de tubos ou sondas endotraqueal ou fixação da cânula de traqueostomia.</v>
      </c>
      <c r="E74" s="33" t="str">
        <f>'APÊNDICE II-MEMÓRIA DE CÁLCULO'!E75</f>
        <v>ROLO</v>
      </c>
      <c r="F74" s="35">
        <f>'APÊNDICE II-MEMÓRIA DE CÁLCULO'!L75</f>
        <v>100</v>
      </c>
      <c r="G74" s="63" t="s">
        <v>809</v>
      </c>
      <c r="H74" s="64">
        <v>2</v>
      </c>
      <c r="I74" s="67">
        <v>3.87</v>
      </c>
      <c r="J74" s="56" t="s">
        <v>31</v>
      </c>
      <c r="K74" s="55" t="s">
        <v>31</v>
      </c>
      <c r="L74" s="37" t="s">
        <v>31</v>
      </c>
      <c r="M74" s="63" t="s">
        <v>633</v>
      </c>
      <c r="N74" s="66">
        <v>1</v>
      </c>
      <c r="O74" s="67">
        <v>6.5</v>
      </c>
      <c r="P74" s="68" t="s">
        <v>385</v>
      </c>
      <c r="Q74" s="66">
        <v>1</v>
      </c>
      <c r="R74" s="67">
        <v>4.25</v>
      </c>
      <c r="S74" s="68" t="s">
        <v>367</v>
      </c>
      <c r="T74" s="66">
        <v>1</v>
      </c>
      <c r="U74" s="67">
        <v>6.3</v>
      </c>
      <c r="V74" s="37">
        <f t="shared" si="13"/>
        <v>1.1798093066254369</v>
      </c>
      <c r="W74" s="58">
        <f t="shared" si="14"/>
        <v>0.2255849534656667</v>
      </c>
      <c r="X74" s="23">
        <f>ROUND(SUM(I74*H74,O74*N74,R74*Q74,U74*T74,)/SUM(H74,N74,Q74,T74,),2)</f>
        <v>4.96</v>
      </c>
      <c r="Y74" s="38">
        <f t="shared" si="12"/>
        <v>496</v>
      </c>
      <c r="Z74" s="6">
        <f t="shared" si="15"/>
        <v>4.25</v>
      </c>
      <c r="AA74" s="5">
        <f t="shared" si="16"/>
        <v>5.23</v>
      </c>
      <c r="AB74" s="8">
        <f t="shared" si="17"/>
        <v>1.1798093066254369</v>
      </c>
      <c r="AC74" s="7">
        <f t="shared" si="18"/>
        <v>0.2255849534656667</v>
      </c>
      <c r="AD74" s="5"/>
      <c r="AE74" s="5"/>
    </row>
    <row r="75" spans="1:31" ht="111" customHeight="1" x14ac:dyDescent="0.3">
      <c r="A75" s="26">
        <v>71</v>
      </c>
      <c r="B75" s="32">
        <f>'APÊNDICE II-MEMÓRIA DE CÁLCULO'!B76</f>
        <v>12313</v>
      </c>
      <c r="C75" s="33">
        <f>'APÊNDICE II-MEMÓRIA DE CÁLCULO'!C76</f>
        <v>455910</v>
      </c>
      <c r="D75" s="34" t="str">
        <f>'APÊNDICE II-MEMÓRIA DE CÁLCULO'!D76</f>
        <v>Colar cervical de resgate - material: polietileno de alta qualidade e densidade, tamanho: pequeno, características adicionais: revestido em EVA, abertura frontal para palpação e ventilação da nuca, registro em órgão competente.</v>
      </c>
      <c r="E75" s="33" t="str">
        <f>'APÊNDICE II-MEMÓRIA DE CÁLCULO'!E76</f>
        <v>UNIDADE</v>
      </c>
      <c r="F75" s="35">
        <f>'APÊNDICE II-MEMÓRIA DE CÁLCULO'!L76</f>
        <v>12</v>
      </c>
      <c r="G75" s="63" t="s">
        <v>809</v>
      </c>
      <c r="H75" s="64">
        <v>9</v>
      </c>
      <c r="I75" s="67">
        <v>15.59</v>
      </c>
      <c r="J75" s="73" t="s">
        <v>810</v>
      </c>
      <c r="K75" s="66">
        <v>1</v>
      </c>
      <c r="L75" s="67">
        <v>15.32</v>
      </c>
      <c r="M75" s="63" t="s">
        <v>431</v>
      </c>
      <c r="N75" s="66">
        <v>1</v>
      </c>
      <c r="O75" s="67">
        <v>16.43</v>
      </c>
      <c r="P75" s="68" t="s">
        <v>400</v>
      </c>
      <c r="Q75" s="66">
        <v>1</v>
      </c>
      <c r="R75" s="67">
        <v>18.43</v>
      </c>
      <c r="S75" s="68" t="s">
        <v>349</v>
      </c>
      <c r="T75" s="66">
        <v>1</v>
      </c>
      <c r="U75" s="67">
        <v>24</v>
      </c>
      <c r="V75" s="37">
        <f t="shared" si="13"/>
        <v>3.213400690856993</v>
      </c>
      <c r="W75" s="58">
        <f t="shared" si="14"/>
        <v>0.17897965304984925</v>
      </c>
      <c r="X75" s="23">
        <f>ROUND(SUM(I75*H75,L75*K75,O75*N75,R75*Q75,U75*T75,)/SUM(H75,K75,N75,Q75,T75,),2)</f>
        <v>16.5</v>
      </c>
      <c r="Y75" s="38">
        <f t="shared" si="12"/>
        <v>198</v>
      </c>
      <c r="Z75" s="6">
        <f t="shared" si="15"/>
        <v>16.009999999999998</v>
      </c>
      <c r="AA75" s="5">
        <f t="shared" si="16"/>
        <v>17.953999999999997</v>
      </c>
      <c r="AB75" s="8">
        <f t="shared" si="17"/>
        <v>3.213400690856993</v>
      </c>
      <c r="AC75" s="7">
        <f t="shared" si="18"/>
        <v>0.17897965304984925</v>
      </c>
      <c r="AD75" s="5"/>
      <c r="AE75" s="5"/>
    </row>
    <row r="76" spans="1:31" ht="111" customHeight="1" x14ac:dyDescent="0.3">
      <c r="A76" s="26">
        <v>72</v>
      </c>
      <c r="B76" s="32">
        <f>'APÊNDICE II-MEMÓRIA DE CÁLCULO'!B77</f>
        <v>12314</v>
      </c>
      <c r="C76" s="33">
        <f>'APÊNDICE II-MEMÓRIA DE CÁLCULO'!C77</f>
        <v>455909</v>
      </c>
      <c r="D76" s="34" t="str">
        <f>'APÊNDICE II-MEMÓRIA DE CÁLCULO'!D77</f>
        <v>Colar cervical de resgate - material: polietileno de alta qualidade e densidade, tamanho: médio, características adicionais: revestido em EVA, abertura frontal para palpação e ventilação da nuca, registro em órgão competente.</v>
      </c>
      <c r="E76" s="33" t="str">
        <f>'APÊNDICE II-MEMÓRIA DE CÁLCULO'!E77</f>
        <v>UNIDADE</v>
      </c>
      <c r="F76" s="35">
        <f>'APÊNDICE II-MEMÓRIA DE CÁLCULO'!L77</f>
        <v>8</v>
      </c>
      <c r="G76" s="63" t="s">
        <v>809</v>
      </c>
      <c r="H76" s="64">
        <v>1</v>
      </c>
      <c r="I76" s="67">
        <v>12.6</v>
      </c>
      <c r="J76" s="73" t="s">
        <v>810</v>
      </c>
      <c r="K76" s="66">
        <v>2</v>
      </c>
      <c r="L76" s="67">
        <v>15.65</v>
      </c>
      <c r="M76" s="63" t="s">
        <v>432</v>
      </c>
      <c r="N76" s="66">
        <v>1</v>
      </c>
      <c r="O76" s="67">
        <v>20.329999999999998</v>
      </c>
      <c r="P76" s="68" t="s">
        <v>374</v>
      </c>
      <c r="Q76" s="66">
        <v>1</v>
      </c>
      <c r="R76" s="67">
        <v>14.8</v>
      </c>
      <c r="S76" s="68" t="s">
        <v>366</v>
      </c>
      <c r="T76" s="66">
        <v>1</v>
      </c>
      <c r="U76" s="67">
        <v>21</v>
      </c>
      <c r="V76" s="37">
        <f t="shared" si="13"/>
        <v>3.256824220003272</v>
      </c>
      <c r="W76" s="58">
        <f t="shared" si="14"/>
        <v>0.19298555463399336</v>
      </c>
      <c r="X76" s="23">
        <f>ROUND(SUM(I76*H76,L76*K76,O76*N76,R76*Q76,U76*T76,)/SUM(H76,K76,N76,Q76,T76,),2)</f>
        <v>16.670000000000002</v>
      </c>
      <c r="Y76" s="38">
        <f t="shared" si="12"/>
        <v>133.36000000000001</v>
      </c>
      <c r="Z76" s="6">
        <f t="shared" si="15"/>
        <v>15.225000000000001</v>
      </c>
      <c r="AA76" s="5">
        <f t="shared" si="16"/>
        <v>16.876000000000001</v>
      </c>
      <c r="AB76" s="8">
        <f t="shared" si="17"/>
        <v>3.256824220003272</v>
      </c>
      <c r="AC76" s="7">
        <f t="shared" si="18"/>
        <v>0.19298555463399336</v>
      </c>
      <c r="AD76" s="5"/>
      <c r="AE76" s="5"/>
    </row>
    <row r="77" spans="1:31" ht="111" customHeight="1" x14ac:dyDescent="0.3">
      <c r="A77" s="26">
        <v>73</v>
      </c>
      <c r="B77" s="32">
        <f>'APÊNDICE II-MEMÓRIA DE CÁLCULO'!B78</f>
        <v>12315</v>
      </c>
      <c r="C77" s="33">
        <f>'APÊNDICE II-MEMÓRIA DE CÁLCULO'!C78</f>
        <v>455908</v>
      </c>
      <c r="D77" s="34" t="str">
        <f>'APÊNDICE II-MEMÓRIA DE CÁLCULO'!D78</f>
        <v>Colar cervical de resgate - material: polietileno de alta qualidade e densidade, tamanho: grande, características adicionais: revestido em EVA, abertura frontal para palpação e ventilação da nuca, registro em órgão competente.</v>
      </c>
      <c r="E77" s="33" t="str">
        <f>'APÊNDICE II-MEMÓRIA DE CÁLCULO'!E78</f>
        <v>UNIDADE</v>
      </c>
      <c r="F77" s="35">
        <f>'APÊNDICE II-MEMÓRIA DE CÁLCULO'!L78</f>
        <v>8</v>
      </c>
      <c r="G77" s="63" t="s">
        <v>809</v>
      </c>
      <c r="H77" s="64">
        <v>10</v>
      </c>
      <c r="I77" s="67">
        <v>15.59</v>
      </c>
      <c r="J77" s="73" t="s">
        <v>810</v>
      </c>
      <c r="K77" s="66">
        <v>3</v>
      </c>
      <c r="L77" s="67">
        <v>15.49</v>
      </c>
      <c r="M77" s="63" t="s">
        <v>433</v>
      </c>
      <c r="N77" s="66">
        <v>1</v>
      </c>
      <c r="O77" s="67">
        <v>20.47</v>
      </c>
      <c r="P77" s="68" t="s">
        <v>366</v>
      </c>
      <c r="Q77" s="66">
        <v>1</v>
      </c>
      <c r="R77" s="67">
        <v>22</v>
      </c>
      <c r="S77" s="68" t="s">
        <v>343</v>
      </c>
      <c r="T77" s="66">
        <v>1</v>
      </c>
      <c r="U77" s="67">
        <v>22.1</v>
      </c>
      <c r="V77" s="37">
        <f t="shared" si="13"/>
        <v>2.9877951737025126</v>
      </c>
      <c r="W77" s="58">
        <f t="shared" si="14"/>
        <v>0.1561837518924471</v>
      </c>
      <c r="X77" s="23">
        <f>ROUND(SUM(I77*H77,L77*K77,O77*N77,R77*Q77,U77*T77,)/SUM(H77,K77,N77,Q77,T77,),2)</f>
        <v>16.68</v>
      </c>
      <c r="Y77" s="38">
        <f t="shared" si="12"/>
        <v>133.44</v>
      </c>
      <c r="Z77" s="6">
        <f t="shared" si="15"/>
        <v>18.03</v>
      </c>
      <c r="AA77" s="5">
        <f t="shared" si="16"/>
        <v>19.13</v>
      </c>
      <c r="AB77" s="8">
        <f t="shared" si="17"/>
        <v>2.9877951737025126</v>
      </c>
      <c r="AC77" s="7">
        <f t="shared" si="18"/>
        <v>0.1561837518924471</v>
      </c>
      <c r="AD77" s="5"/>
      <c r="AE77" s="5"/>
    </row>
    <row r="78" spans="1:31" ht="111" customHeight="1" x14ac:dyDescent="0.3">
      <c r="A78" s="26">
        <v>74</v>
      </c>
      <c r="B78" s="32">
        <f>'APÊNDICE II-MEMÓRIA DE CÁLCULO'!B79</f>
        <v>12570</v>
      </c>
      <c r="C78" s="33" t="str">
        <f>'APÊNDICE II-MEMÓRIA DE CÁLCULO'!C79</f>
        <v>-</v>
      </c>
      <c r="D78" s="34" t="str">
        <f>'APÊNDICE II-MEMÓRIA DE CÁLCULO'!D79</f>
        <v xml:space="preserve">Teste Bowie-Dick - De uso diário, em temperatura de 134°C por 3,5 minutos, caixa em material impermeável. Contendo indicador químico externo de processo (tipo 1) com folhas em papel poroso.    Embalagem com 4 kg. </v>
      </c>
      <c r="E78" s="33" t="str">
        <f>'APÊNDICE II-MEMÓRIA DE CÁLCULO'!E79</f>
        <v>UNIDADE</v>
      </c>
      <c r="F78" s="35">
        <f>'APÊNDICE II-MEMÓRIA DE CÁLCULO'!L79</f>
        <v>400</v>
      </c>
      <c r="G78" s="63" t="s">
        <v>809</v>
      </c>
      <c r="H78" s="64">
        <v>1</v>
      </c>
      <c r="I78" s="67">
        <v>12</v>
      </c>
      <c r="J78" s="56" t="s">
        <v>31</v>
      </c>
      <c r="K78" s="55" t="s">
        <v>31</v>
      </c>
      <c r="L78" s="37" t="s">
        <v>31</v>
      </c>
      <c r="M78" s="63" t="s">
        <v>500</v>
      </c>
      <c r="N78" s="66">
        <v>1</v>
      </c>
      <c r="O78" s="67">
        <v>15</v>
      </c>
      <c r="P78" s="68" t="s">
        <v>391</v>
      </c>
      <c r="Q78" s="66">
        <v>1</v>
      </c>
      <c r="R78" s="67">
        <v>19.899999999999999</v>
      </c>
      <c r="S78" s="68" t="s">
        <v>355</v>
      </c>
      <c r="T78" s="66">
        <v>1</v>
      </c>
      <c r="U78" s="67">
        <v>13.15</v>
      </c>
      <c r="V78" s="37">
        <f t="shared" si="13"/>
        <v>3.0179411442239932</v>
      </c>
      <c r="W78" s="58">
        <f t="shared" si="14"/>
        <v>0.20102855248785967</v>
      </c>
      <c r="X78" s="23">
        <f>ROUND(SUM(I78*H78,O78*N78,R78*Q78,U78*T78,)/SUM(H78,N78,Q78,T78,),2)</f>
        <v>15.01</v>
      </c>
      <c r="Y78" s="38">
        <f t="shared" si="12"/>
        <v>6004</v>
      </c>
      <c r="Z78" s="6">
        <f t="shared" si="15"/>
        <v>13.15</v>
      </c>
      <c r="AA78" s="5">
        <f t="shared" si="16"/>
        <v>15.012499999999999</v>
      </c>
      <c r="AB78" s="8">
        <f t="shared" si="17"/>
        <v>3.0179411442239932</v>
      </c>
      <c r="AC78" s="7">
        <f t="shared" si="18"/>
        <v>0.20102855248785967</v>
      </c>
      <c r="AD78" s="5"/>
      <c r="AE78" s="5"/>
    </row>
    <row r="79" spans="1:31" ht="111" customHeight="1" x14ac:dyDescent="0.3">
      <c r="A79" s="26">
        <v>75</v>
      </c>
      <c r="B79" s="32">
        <f>'APÊNDICE II-MEMÓRIA DE CÁLCULO'!B80</f>
        <v>12317</v>
      </c>
      <c r="C79" s="33">
        <f>'APÊNDICE II-MEMÓRIA DE CÁLCULO'!C80</f>
        <v>438473</v>
      </c>
      <c r="D79" s="34" t="str">
        <f>'APÊNDICE II-MEMÓRIA DE CÁLCULO'!D80</f>
        <v>Dreno cirúrgico - modelo: torácico, calibre: Nº 10,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79" s="33" t="str">
        <f>'APÊNDICE II-MEMÓRIA DE CÁLCULO'!E80</f>
        <v>UNIDADE</v>
      </c>
      <c r="F79" s="35">
        <f>'APÊNDICE II-MEMÓRIA DE CÁLCULO'!L80</f>
        <v>10</v>
      </c>
      <c r="G79" s="63" t="s">
        <v>809</v>
      </c>
      <c r="H79" s="64">
        <v>1</v>
      </c>
      <c r="I79" s="67">
        <v>5.5</v>
      </c>
      <c r="J79" s="73" t="s">
        <v>810</v>
      </c>
      <c r="K79" s="66">
        <v>1</v>
      </c>
      <c r="L79" s="67">
        <v>6.94</v>
      </c>
      <c r="M79" s="63" t="s">
        <v>434</v>
      </c>
      <c r="N79" s="66">
        <v>1</v>
      </c>
      <c r="O79" s="67">
        <v>4.5999999999999996</v>
      </c>
      <c r="P79" s="68" t="s">
        <v>400</v>
      </c>
      <c r="Q79" s="66">
        <v>1</v>
      </c>
      <c r="R79" s="67">
        <v>5.68</v>
      </c>
      <c r="S79" s="68" t="s">
        <v>403</v>
      </c>
      <c r="T79" s="66">
        <v>1</v>
      </c>
      <c r="U79" s="67">
        <v>7.87</v>
      </c>
      <c r="V79" s="37">
        <f t="shared" si="13"/>
        <v>1.1509370095708955</v>
      </c>
      <c r="W79" s="58">
        <f t="shared" si="14"/>
        <v>0.18812308100210778</v>
      </c>
      <c r="X79" s="23">
        <f t="shared" ref="X79:X90" si="19">ROUND(SUM(I79*H79,L79*K79,O79*N79,R79*Q79,U79*T79,)/SUM(H79,K79,N79,Q79,T79,),2)</f>
        <v>6.12</v>
      </c>
      <c r="Y79" s="38">
        <f t="shared" si="12"/>
        <v>61.2</v>
      </c>
      <c r="Z79" s="6">
        <f t="shared" si="15"/>
        <v>5.59</v>
      </c>
      <c r="AA79" s="5">
        <f t="shared" si="16"/>
        <v>6.1180000000000003</v>
      </c>
      <c r="AB79" s="8">
        <f t="shared" si="17"/>
        <v>1.1509370095708955</v>
      </c>
      <c r="AC79" s="7">
        <f t="shared" si="18"/>
        <v>0.18812308100210778</v>
      </c>
      <c r="AD79" s="5"/>
      <c r="AE79" s="5"/>
    </row>
    <row r="80" spans="1:31" ht="111" customHeight="1" x14ac:dyDescent="0.3">
      <c r="A80" s="26">
        <v>76</v>
      </c>
      <c r="B80" s="32">
        <f>'APÊNDICE II-MEMÓRIA DE CÁLCULO'!B81</f>
        <v>12318</v>
      </c>
      <c r="C80" s="33">
        <f>'APÊNDICE II-MEMÓRIA DE CÁLCULO'!C81</f>
        <v>438461</v>
      </c>
      <c r="D80" s="34" t="str">
        <f>'APÊNDICE II-MEMÓRIA DE CÁLCULO'!D81</f>
        <v>Dreno cirúrgico - modelo: torácico, calibre: Nº 14,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0" s="33" t="str">
        <f>'APÊNDICE II-MEMÓRIA DE CÁLCULO'!E81</f>
        <v>UNIDADE</v>
      </c>
      <c r="F80" s="35">
        <f>'APÊNDICE II-MEMÓRIA DE CÁLCULO'!L81</f>
        <v>10</v>
      </c>
      <c r="G80" s="63" t="s">
        <v>809</v>
      </c>
      <c r="H80" s="64">
        <v>1</v>
      </c>
      <c r="I80" s="67">
        <v>4.5</v>
      </c>
      <c r="J80" s="73" t="s">
        <v>810</v>
      </c>
      <c r="K80" s="66">
        <v>3</v>
      </c>
      <c r="L80" s="67">
        <v>4.4000000000000004</v>
      </c>
      <c r="M80" s="63" t="s">
        <v>435</v>
      </c>
      <c r="N80" s="66">
        <v>1</v>
      </c>
      <c r="O80" s="67">
        <v>5.86</v>
      </c>
      <c r="P80" s="68" t="s">
        <v>393</v>
      </c>
      <c r="Q80" s="66">
        <v>1</v>
      </c>
      <c r="R80" s="67">
        <v>4.6399999999999997</v>
      </c>
      <c r="S80" s="68" t="s">
        <v>403</v>
      </c>
      <c r="T80" s="66">
        <v>1</v>
      </c>
      <c r="U80" s="67">
        <v>7.87</v>
      </c>
      <c r="V80" s="37">
        <f t="shared" si="13"/>
        <v>1.3179924127247469</v>
      </c>
      <c r="W80" s="58">
        <f t="shared" si="14"/>
        <v>0.2416561079436646</v>
      </c>
      <c r="X80" s="23">
        <f t="shared" si="19"/>
        <v>5.15</v>
      </c>
      <c r="Y80" s="38">
        <f t="shared" si="12"/>
        <v>51.5</v>
      </c>
      <c r="Z80" s="6">
        <f t="shared" si="15"/>
        <v>4.57</v>
      </c>
      <c r="AA80" s="5">
        <f t="shared" si="16"/>
        <v>5.4540000000000006</v>
      </c>
      <c r="AB80" s="8">
        <f t="shared" si="17"/>
        <v>1.3179924127247469</v>
      </c>
      <c r="AC80" s="7">
        <f t="shared" si="18"/>
        <v>0.2416561079436646</v>
      </c>
      <c r="AD80" s="5"/>
      <c r="AE80" s="5"/>
    </row>
    <row r="81" spans="1:31" ht="111" customHeight="1" x14ac:dyDescent="0.3">
      <c r="A81" s="26">
        <v>77</v>
      </c>
      <c r="B81" s="32">
        <f>'APÊNDICE II-MEMÓRIA DE CÁLCULO'!B82</f>
        <v>12319</v>
      </c>
      <c r="C81" s="33">
        <f>'APÊNDICE II-MEMÓRIA DE CÁLCULO'!C82</f>
        <v>438463</v>
      </c>
      <c r="D81" s="34" t="str">
        <f>'APÊNDICE II-MEMÓRIA DE CÁLCULO'!D82</f>
        <v>Dreno cirúrgico - modelo: torácico, calibre: Nº 18,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1" s="33" t="str">
        <f>'APÊNDICE II-MEMÓRIA DE CÁLCULO'!E82</f>
        <v>UNIDADE</v>
      </c>
      <c r="F81" s="35">
        <f>'APÊNDICE II-MEMÓRIA DE CÁLCULO'!L82</f>
        <v>10</v>
      </c>
      <c r="G81" s="63" t="s">
        <v>809</v>
      </c>
      <c r="H81" s="64">
        <v>1</v>
      </c>
      <c r="I81" s="67">
        <v>5.27</v>
      </c>
      <c r="J81" s="73" t="s">
        <v>810</v>
      </c>
      <c r="K81" s="66">
        <v>2</v>
      </c>
      <c r="L81" s="67">
        <v>6.2</v>
      </c>
      <c r="M81" s="63" t="s">
        <v>436</v>
      </c>
      <c r="N81" s="66">
        <v>1</v>
      </c>
      <c r="O81" s="67">
        <v>6.24</v>
      </c>
      <c r="P81" s="68" t="s">
        <v>403</v>
      </c>
      <c r="Q81" s="66">
        <v>1</v>
      </c>
      <c r="R81" s="67">
        <v>4.45</v>
      </c>
      <c r="S81" s="68" t="s">
        <v>400</v>
      </c>
      <c r="T81" s="66">
        <v>1</v>
      </c>
      <c r="U81" s="67">
        <v>5.68</v>
      </c>
      <c r="V81" s="37">
        <f t="shared" si="13"/>
        <v>0.66366859199453143</v>
      </c>
      <c r="W81" s="58">
        <f t="shared" si="14"/>
        <v>0.11919335344729373</v>
      </c>
      <c r="X81" s="23">
        <f t="shared" si="19"/>
        <v>5.67</v>
      </c>
      <c r="Y81" s="38">
        <f t="shared" si="12"/>
        <v>56.7</v>
      </c>
      <c r="Z81" s="6">
        <f t="shared" si="15"/>
        <v>5.4749999999999996</v>
      </c>
      <c r="AA81" s="5">
        <f t="shared" si="16"/>
        <v>5.5679999999999996</v>
      </c>
      <c r="AB81" s="8">
        <f t="shared" si="17"/>
        <v>0.66366859199453143</v>
      </c>
      <c r="AC81" s="7">
        <f t="shared" si="18"/>
        <v>0.11919335344729373</v>
      </c>
      <c r="AD81" s="5"/>
      <c r="AE81" s="5"/>
    </row>
    <row r="82" spans="1:31" ht="111" customHeight="1" x14ac:dyDescent="0.3">
      <c r="A82" s="26">
        <v>78</v>
      </c>
      <c r="B82" s="32">
        <f>'APÊNDICE II-MEMÓRIA DE CÁLCULO'!B83</f>
        <v>12320</v>
      </c>
      <c r="C82" s="33">
        <f>'APÊNDICE II-MEMÓRIA DE CÁLCULO'!C83</f>
        <v>438475</v>
      </c>
      <c r="D82" s="34" t="str">
        <f>'APÊNDICE II-MEMÓRIA DE CÁLCULO'!D83</f>
        <v>Dreno cirúrgico - modelo: torácico, calibre: Nº 20,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2" s="33" t="str">
        <f>'APÊNDICE II-MEMÓRIA DE CÁLCULO'!E83</f>
        <v>UNIDADE</v>
      </c>
      <c r="F82" s="35">
        <f>'APÊNDICE II-MEMÓRIA DE CÁLCULO'!L83</f>
        <v>10</v>
      </c>
      <c r="G82" s="63" t="s">
        <v>809</v>
      </c>
      <c r="H82" s="64">
        <v>1</v>
      </c>
      <c r="I82" s="67">
        <v>4.8</v>
      </c>
      <c r="J82" s="73" t="s">
        <v>810</v>
      </c>
      <c r="K82" s="66">
        <v>2</v>
      </c>
      <c r="L82" s="67">
        <v>4.12</v>
      </c>
      <c r="M82" s="63" t="s">
        <v>437</v>
      </c>
      <c r="N82" s="66">
        <v>1</v>
      </c>
      <c r="O82" s="67">
        <v>5.32</v>
      </c>
      <c r="P82" s="68" t="s">
        <v>403</v>
      </c>
      <c r="Q82" s="66">
        <v>1</v>
      </c>
      <c r="R82" s="67">
        <v>4.45</v>
      </c>
      <c r="S82" s="68" t="s">
        <v>400</v>
      </c>
      <c r="T82" s="66">
        <v>1</v>
      </c>
      <c r="U82" s="67">
        <v>5.68</v>
      </c>
      <c r="V82" s="37">
        <f t="shared" si="13"/>
        <v>0.56609539832081057</v>
      </c>
      <c r="W82" s="58">
        <f t="shared" si="14"/>
        <v>0.11614595780074077</v>
      </c>
      <c r="X82" s="23">
        <f t="shared" si="19"/>
        <v>4.75</v>
      </c>
      <c r="Y82" s="38">
        <f t="shared" si="12"/>
        <v>47.5</v>
      </c>
      <c r="Z82" s="6">
        <f t="shared" si="15"/>
        <v>4.625</v>
      </c>
      <c r="AA82" s="5">
        <f t="shared" si="16"/>
        <v>4.8740000000000006</v>
      </c>
      <c r="AB82" s="8">
        <f t="shared" si="17"/>
        <v>0.56609539832081057</v>
      </c>
      <c r="AC82" s="7">
        <f t="shared" si="18"/>
        <v>0.11614595780074077</v>
      </c>
      <c r="AD82" s="5"/>
      <c r="AE82" s="5"/>
    </row>
    <row r="83" spans="1:31" ht="111" customHeight="1" x14ac:dyDescent="0.3">
      <c r="A83" s="26">
        <v>79</v>
      </c>
      <c r="B83" s="32">
        <f>'APÊNDICE II-MEMÓRIA DE CÁLCULO'!B84</f>
        <v>12321</v>
      </c>
      <c r="C83" s="33">
        <f>'APÊNDICE II-MEMÓRIA DE CÁLCULO'!C84</f>
        <v>438466</v>
      </c>
      <c r="D83" s="34" t="str">
        <f>'APÊNDICE II-MEMÓRIA DE CÁLCULO'!D84</f>
        <v>Dreno cirúrgico - modelo: torácico, calibre: Nº 24,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3" s="33" t="str">
        <f>'APÊNDICE II-MEMÓRIA DE CÁLCULO'!E84</f>
        <v>UNIDADE</v>
      </c>
      <c r="F83" s="35">
        <f>'APÊNDICE II-MEMÓRIA DE CÁLCULO'!L84</f>
        <v>10</v>
      </c>
      <c r="G83" s="63" t="s">
        <v>809</v>
      </c>
      <c r="H83" s="64">
        <v>1</v>
      </c>
      <c r="I83" s="67">
        <v>4.5</v>
      </c>
      <c r="J83" s="73" t="s">
        <v>810</v>
      </c>
      <c r="K83" s="66">
        <v>2</v>
      </c>
      <c r="L83" s="67">
        <v>5.78</v>
      </c>
      <c r="M83" s="63" t="s">
        <v>438</v>
      </c>
      <c r="N83" s="66">
        <v>1</v>
      </c>
      <c r="O83" s="67">
        <v>5.18</v>
      </c>
      <c r="P83" s="68" t="s">
        <v>403</v>
      </c>
      <c r="Q83" s="66">
        <v>1</v>
      </c>
      <c r="R83" s="67">
        <v>6.33</v>
      </c>
      <c r="S83" s="68" t="s">
        <v>400</v>
      </c>
      <c r="T83" s="66">
        <v>1</v>
      </c>
      <c r="U83" s="67">
        <v>7.06</v>
      </c>
      <c r="V83" s="37">
        <f t="shared" si="13"/>
        <v>0.88755844877957102</v>
      </c>
      <c r="W83" s="58">
        <f t="shared" si="14"/>
        <v>0.15382295472782861</v>
      </c>
      <c r="X83" s="23">
        <f t="shared" si="19"/>
        <v>5.77</v>
      </c>
      <c r="Y83" s="38">
        <f t="shared" si="12"/>
        <v>57.699999999999996</v>
      </c>
      <c r="Z83" s="6">
        <f t="shared" si="15"/>
        <v>5.48</v>
      </c>
      <c r="AA83" s="5">
        <f t="shared" si="16"/>
        <v>5.77</v>
      </c>
      <c r="AB83" s="8">
        <f t="shared" si="17"/>
        <v>0.88755844877957102</v>
      </c>
      <c r="AC83" s="7">
        <f t="shared" si="18"/>
        <v>0.15382295472782861</v>
      </c>
      <c r="AD83" s="5"/>
      <c r="AE83" s="5"/>
    </row>
    <row r="84" spans="1:31" ht="111" customHeight="1" x14ac:dyDescent="0.3">
      <c r="A84" s="26">
        <v>80</v>
      </c>
      <c r="B84" s="32">
        <f>'APÊNDICE II-MEMÓRIA DE CÁLCULO'!B85</f>
        <v>12322</v>
      </c>
      <c r="C84" s="33">
        <f>'APÊNDICE II-MEMÓRIA DE CÁLCULO'!C85</f>
        <v>438471</v>
      </c>
      <c r="D84" s="34" t="str">
        <f>'APÊNDICE II-MEMÓRIA DE CÁLCULO'!D85</f>
        <v>Dreno cirúrgico - modelo: torácico, calibre: Nº 28,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4" s="33" t="str">
        <f>'APÊNDICE II-MEMÓRIA DE CÁLCULO'!E85</f>
        <v>UNIDADE</v>
      </c>
      <c r="F84" s="35">
        <f>'APÊNDICE II-MEMÓRIA DE CÁLCULO'!L85</f>
        <v>10</v>
      </c>
      <c r="G84" s="63" t="s">
        <v>809</v>
      </c>
      <c r="H84" s="64">
        <v>6</v>
      </c>
      <c r="I84" s="67">
        <v>8.4700000000000006</v>
      </c>
      <c r="J84" s="73" t="s">
        <v>810</v>
      </c>
      <c r="K84" s="66">
        <v>5</v>
      </c>
      <c r="L84" s="67">
        <v>5.62</v>
      </c>
      <c r="M84" s="63" t="s">
        <v>439</v>
      </c>
      <c r="N84" s="66">
        <v>1</v>
      </c>
      <c r="O84" s="67">
        <v>5.9</v>
      </c>
      <c r="P84" s="68" t="s">
        <v>400</v>
      </c>
      <c r="Q84" s="66">
        <v>1</v>
      </c>
      <c r="R84" s="67">
        <v>7.06</v>
      </c>
      <c r="S84" s="68" t="s">
        <v>403</v>
      </c>
      <c r="T84" s="66">
        <v>1</v>
      </c>
      <c r="U84" s="67">
        <v>7.87</v>
      </c>
      <c r="V84" s="37">
        <f t="shared" si="13"/>
        <v>1.0985918259299015</v>
      </c>
      <c r="W84" s="58">
        <f t="shared" si="14"/>
        <v>0.15730123509878313</v>
      </c>
      <c r="X84" s="23">
        <f t="shared" si="19"/>
        <v>7.13</v>
      </c>
      <c r="Y84" s="38">
        <f t="shared" si="12"/>
        <v>71.3</v>
      </c>
      <c r="Z84" s="6">
        <f t="shared" si="15"/>
        <v>6.48</v>
      </c>
      <c r="AA84" s="5">
        <f t="shared" si="16"/>
        <v>6.984</v>
      </c>
      <c r="AB84" s="8">
        <f t="shared" si="17"/>
        <v>1.0985918259299015</v>
      </c>
      <c r="AC84" s="7">
        <f t="shared" si="18"/>
        <v>0.15730123509878313</v>
      </c>
      <c r="AD84" s="5"/>
      <c r="AE84" s="5"/>
    </row>
    <row r="85" spans="1:31" ht="111" customHeight="1" x14ac:dyDescent="0.3">
      <c r="A85" s="26">
        <v>81</v>
      </c>
      <c r="B85" s="32">
        <f>'APÊNDICE II-MEMÓRIA DE CÁLCULO'!B86</f>
        <v>12323</v>
      </c>
      <c r="C85" s="33">
        <f>'APÊNDICE II-MEMÓRIA DE CÁLCULO'!C86</f>
        <v>438478</v>
      </c>
      <c r="D85" s="34" t="str">
        <f>'APÊNDICE II-MEMÓRIA DE CÁLCULO'!D86</f>
        <v xml:space="preserve">Dreno cirúrgico - modelo: torácico, calibre: Nº 32,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
</v>
      </c>
      <c r="E85" s="33" t="str">
        <f>'APÊNDICE II-MEMÓRIA DE CÁLCULO'!E86</f>
        <v>UNIDADE</v>
      </c>
      <c r="F85" s="35">
        <f>'APÊNDICE II-MEMÓRIA DE CÁLCULO'!L86</f>
        <v>10</v>
      </c>
      <c r="G85" s="63" t="s">
        <v>809</v>
      </c>
      <c r="H85" s="64">
        <v>6</v>
      </c>
      <c r="I85" s="67">
        <v>10.29</v>
      </c>
      <c r="J85" s="73" t="s">
        <v>810</v>
      </c>
      <c r="K85" s="66">
        <v>3</v>
      </c>
      <c r="L85" s="67">
        <v>5.16</v>
      </c>
      <c r="M85" s="63" t="s">
        <v>440</v>
      </c>
      <c r="N85" s="66">
        <v>1</v>
      </c>
      <c r="O85" s="67">
        <v>7.1</v>
      </c>
      <c r="P85" s="68" t="s">
        <v>349</v>
      </c>
      <c r="Q85" s="66">
        <v>1</v>
      </c>
      <c r="R85" s="67">
        <v>9</v>
      </c>
      <c r="S85" s="68" t="s">
        <v>400</v>
      </c>
      <c r="T85" s="66">
        <v>1</v>
      </c>
      <c r="U85" s="67">
        <v>9.7899999999999991</v>
      </c>
      <c r="V85" s="37">
        <f t="shared" si="13"/>
        <v>1.8955041545720734</v>
      </c>
      <c r="W85" s="58">
        <f t="shared" si="14"/>
        <v>0.22925788033043945</v>
      </c>
      <c r="X85" s="23">
        <f t="shared" si="19"/>
        <v>8.59</v>
      </c>
      <c r="Y85" s="38">
        <f t="shared" si="12"/>
        <v>85.9</v>
      </c>
      <c r="Z85" s="6">
        <f t="shared" si="15"/>
        <v>8.0500000000000007</v>
      </c>
      <c r="AA85" s="5">
        <f t="shared" si="16"/>
        <v>8.2680000000000007</v>
      </c>
      <c r="AB85" s="8">
        <f t="shared" si="17"/>
        <v>1.8955041545720734</v>
      </c>
      <c r="AC85" s="7">
        <f t="shared" si="18"/>
        <v>0.22925788033043945</v>
      </c>
      <c r="AD85" s="5"/>
      <c r="AE85" s="5"/>
    </row>
    <row r="86" spans="1:31" ht="111" customHeight="1" x14ac:dyDescent="0.3">
      <c r="A86" s="26">
        <v>82</v>
      </c>
      <c r="B86" s="32">
        <f>'APÊNDICE II-MEMÓRIA DE CÁLCULO'!B87</f>
        <v>12324</v>
      </c>
      <c r="C86" s="33">
        <f>'APÊNDICE II-MEMÓRIA DE CÁLCULO'!C87</f>
        <v>438472</v>
      </c>
      <c r="D86" s="34" t="str">
        <f>'APÊNDICE II-MEMÓRIA DE CÁLCULO'!D87</f>
        <v>Dreno cirúrgico - modelo: torácico, calibre: Nº 34,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6" s="33" t="str">
        <f>'APÊNDICE II-MEMÓRIA DE CÁLCULO'!E87</f>
        <v>UNIDADE</v>
      </c>
      <c r="F86" s="35">
        <f>'APÊNDICE II-MEMÓRIA DE CÁLCULO'!L87</f>
        <v>10</v>
      </c>
      <c r="G86" s="63" t="s">
        <v>809</v>
      </c>
      <c r="H86" s="64">
        <v>9</v>
      </c>
      <c r="I86" s="67">
        <v>12.29</v>
      </c>
      <c r="J86" s="73" t="s">
        <v>810</v>
      </c>
      <c r="K86" s="66">
        <v>2</v>
      </c>
      <c r="L86" s="67">
        <v>5.94</v>
      </c>
      <c r="M86" s="63" t="s">
        <v>441</v>
      </c>
      <c r="N86" s="66">
        <v>1</v>
      </c>
      <c r="O86" s="67">
        <v>8.9</v>
      </c>
      <c r="P86" s="68" t="s">
        <v>349</v>
      </c>
      <c r="Q86" s="66">
        <v>1</v>
      </c>
      <c r="R86" s="67">
        <v>9</v>
      </c>
      <c r="S86" s="68" t="s">
        <v>400</v>
      </c>
      <c r="T86" s="66">
        <v>1</v>
      </c>
      <c r="U86" s="67">
        <v>9.75</v>
      </c>
      <c r="V86" s="37">
        <f t="shared" si="13"/>
        <v>2.0300403936867872</v>
      </c>
      <c r="W86" s="58">
        <f t="shared" si="14"/>
        <v>0.22123369591181208</v>
      </c>
      <c r="X86" s="23">
        <f t="shared" si="19"/>
        <v>10.72</v>
      </c>
      <c r="Y86" s="38">
        <f t="shared" si="12"/>
        <v>107.2</v>
      </c>
      <c r="Z86" s="6">
        <f t="shared" si="15"/>
        <v>8.9499999999999993</v>
      </c>
      <c r="AA86" s="5">
        <f t="shared" si="16"/>
        <v>9.1759999999999984</v>
      </c>
      <c r="AB86" s="8">
        <f t="shared" si="17"/>
        <v>2.0300403936867872</v>
      </c>
      <c r="AC86" s="7">
        <f t="shared" si="18"/>
        <v>0.22123369591181208</v>
      </c>
      <c r="AD86" s="5"/>
      <c r="AE86" s="5"/>
    </row>
    <row r="87" spans="1:31" ht="111" customHeight="1" x14ac:dyDescent="0.3">
      <c r="A87" s="26">
        <v>83</v>
      </c>
      <c r="B87" s="32">
        <f>'APÊNDICE II-MEMÓRIA DE CÁLCULO'!B88</f>
        <v>12325</v>
      </c>
      <c r="C87" s="33">
        <f>'APÊNDICE II-MEMÓRIA DE CÁLCULO'!C88</f>
        <v>438468</v>
      </c>
      <c r="D87" s="34" t="str">
        <f>'APÊNDICE II-MEMÓRIA DE CÁLCULO'!D88</f>
        <v>Dreno cirúrgico - modelo: torácico, calibre: Nº 36,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7" s="33" t="str">
        <f>'APÊNDICE II-MEMÓRIA DE CÁLCULO'!E88</f>
        <v>UNIDADE</v>
      </c>
      <c r="F87" s="35">
        <f>'APÊNDICE II-MEMÓRIA DE CÁLCULO'!L88</f>
        <v>10</v>
      </c>
      <c r="G87" s="63" t="s">
        <v>809</v>
      </c>
      <c r="H87" s="64">
        <v>8</v>
      </c>
      <c r="I87" s="67">
        <v>8.99</v>
      </c>
      <c r="J87" s="73" t="s">
        <v>810</v>
      </c>
      <c r="K87" s="66">
        <v>2</v>
      </c>
      <c r="L87" s="67">
        <v>6.48</v>
      </c>
      <c r="M87" s="63" t="s">
        <v>442</v>
      </c>
      <c r="N87" s="66">
        <v>1</v>
      </c>
      <c r="O87" s="67">
        <v>6.9</v>
      </c>
      <c r="P87" s="68" t="s">
        <v>400</v>
      </c>
      <c r="Q87" s="66">
        <v>1</v>
      </c>
      <c r="R87" s="67">
        <v>9.75</v>
      </c>
      <c r="S87" s="68" t="s">
        <v>405</v>
      </c>
      <c r="T87" s="66">
        <v>1</v>
      </c>
      <c r="U87" s="67">
        <v>8.19</v>
      </c>
      <c r="V87" s="37">
        <f t="shared" si="13"/>
        <v>1.2312497715735831</v>
      </c>
      <c r="W87" s="58">
        <f t="shared" si="14"/>
        <v>0.15272262113291774</v>
      </c>
      <c r="X87" s="23">
        <f t="shared" si="19"/>
        <v>8.44</v>
      </c>
      <c r="Y87" s="38">
        <f t="shared" si="12"/>
        <v>84.399999999999991</v>
      </c>
      <c r="Z87" s="6">
        <f t="shared" si="15"/>
        <v>7.5449999999999999</v>
      </c>
      <c r="AA87" s="5">
        <f t="shared" si="16"/>
        <v>8.0620000000000012</v>
      </c>
      <c r="AB87" s="8">
        <f t="shared" si="17"/>
        <v>1.2312497715735831</v>
      </c>
      <c r="AC87" s="7">
        <f t="shared" si="18"/>
        <v>0.15272262113291774</v>
      </c>
      <c r="AD87" s="5"/>
      <c r="AE87" s="5"/>
    </row>
    <row r="88" spans="1:31" ht="111" customHeight="1" x14ac:dyDescent="0.3">
      <c r="A88" s="26">
        <v>84</v>
      </c>
      <c r="B88" s="32">
        <f>'APÊNDICE II-MEMÓRIA DE CÁLCULO'!B89</f>
        <v>12326</v>
      </c>
      <c r="C88" s="33">
        <f>'APÊNDICE II-MEMÓRIA DE CÁLCULO'!C89</f>
        <v>438469</v>
      </c>
      <c r="D88" s="34" t="str">
        <f>'APÊNDICE II-MEMÓRIA DE CÁLCULO'!D89</f>
        <v>Dreno cirúrgico - modelo: torácico, calibre: Nº 38,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8" s="33" t="str">
        <f>'APÊNDICE II-MEMÓRIA DE CÁLCULO'!E89</f>
        <v>UNIDADE</v>
      </c>
      <c r="F88" s="35">
        <f>'APÊNDICE II-MEMÓRIA DE CÁLCULO'!L89</f>
        <v>10</v>
      </c>
      <c r="G88" s="63" t="s">
        <v>809</v>
      </c>
      <c r="H88" s="64">
        <v>6</v>
      </c>
      <c r="I88" s="67">
        <v>6</v>
      </c>
      <c r="J88" s="73" t="s">
        <v>810</v>
      </c>
      <c r="K88" s="66">
        <v>1</v>
      </c>
      <c r="L88" s="67">
        <v>6.28</v>
      </c>
      <c r="M88" s="63" t="s">
        <v>443</v>
      </c>
      <c r="N88" s="66">
        <v>1</v>
      </c>
      <c r="O88" s="67">
        <v>7.05</v>
      </c>
      <c r="P88" s="68" t="s">
        <v>405</v>
      </c>
      <c r="Q88" s="66">
        <v>1</v>
      </c>
      <c r="R88" s="67">
        <v>8.19</v>
      </c>
      <c r="S88" s="68" t="s">
        <v>355</v>
      </c>
      <c r="T88" s="66">
        <v>1</v>
      </c>
      <c r="U88" s="67">
        <v>9.82</v>
      </c>
      <c r="V88" s="37">
        <f t="shared" si="13"/>
        <v>1.3995913689359463</v>
      </c>
      <c r="W88" s="58">
        <f t="shared" si="14"/>
        <v>0.18741180623138004</v>
      </c>
      <c r="X88" s="23">
        <f t="shared" si="19"/>
        <v>6.73</v>
      </c>
      <c r="Y88" s="38">
        <f t="shared" si="12"/>
        <v>67.300000000000011</v>
      </c>
      <c r="Z88" s="6">
        <f t="shared" si="15"/>
        <v>6.665</v>
      </c>
      <c r="AA88" s="5">
        <f t="shared" si="16"/>
        <v>7.4680000000000009</v>
      </c>
      <c r="AB88" s="8">
        <f t="shared" si="17"/>
        <v>1.3995913689359463</v>
      </c>
      <c r="AC88" s="7">
        <f t="shared" si="18"/>
        <v>0.18741180623138004</v>
      </c>
      <c r="AD88" s="5"/>
      <c r="AE88" s="5"/>
    </row>
    <row r="89" spans="1:31" ht="111" customHeight="1" x14ac:dyDescent="0.3">
      <c r="A89" s="26">
        <v>85</v>
      </c>
      <c r="B89" s="32">
        <f>'APÊNDICE II-MEMÓRIA DE CÁLCULO'!B90</f>
        <v>12328</v>
      </c>
      <c r="C89" s="33">
        <f>'APÊNDICE II-MEMÓRIA DE CÁLCULO'!C90</f>
        <v>438476</v>
      </c>
      <c r="D89" s="34" t="str">
        <f>'APÊNDICE II-MEMÓRIA DE CÁLCULO'!D90</f>
        <v>Dreno cirúrgico - modelo: torácico, calibre: Nº 40, aplicação: drenagem de ar e líquido do espaço pleural (pulmão), material: confeccionado em pvc atóxico, tipo uso: estéril, descartável,  características adicionais: apirogênico, transparente, multiperfurado, ponta arredondada, sem rebarbas, siliconizado, com fio radiopaco, embalagem individual com abertura de pétala e asséptica. Embalagem contendo externamente dados de identificação e procedência, lote e registro em órgão competente.</v>
      </c>
      <c r="E89" s="33" t="str">
        <f>'APÊNDICE II-MEMÓRIA DE CÁLCULO'!E90</f>
        <v>UNIDADE</v>
      </c>
      <c r="F89" s="35">
        <f>'APÊNDICE II-MEMÓRIA DE CÁLCULO'!L90</f>
        <v>10</v>
      </c>
      <c r="G89" s="63" t="s">
        <v>809</v>
      </c>
      <c r="H89" s="64">
        <v>4</v>
      </c>
      <c r="I89" s="67">
        <v>5.64</v>
      </c>
      <c r="J89" s="73" t="s">
        <v>810</v>
      </c>
      <c r="K89" s="66">
        <v>2</v>
      </c>
      <c r="L89" s="67">
        <v>7.58</v>
      </c>
      <c r="M89" s="63" t="s">
        <v>444</v>
      </c>
      <c r="N89" s="66">
        <v>1</v>
      </c>
      <c r="O89" s="67">
        <v>8.5</v>
      </c>
      <c r="P89" s="179" t="s">
        <v>406</v>
      </c>
      <c r="Q89" s="180">
        <v>1</v>
      </c>
      <c r="R89" s="181">
        <v>7.98</v>
      </c>
      <c r="S89" s="68" t="s">
        <v>405</v>
      </c>
      <c r="T89" s="66">
        <v>1</v>
      </c>
      <c r="U89" s="67">
        <v>8.19</v>
      </c>
      <c r="V89" s="37">
        <f t="shared" si="13"/>
        <v>1.0141084754600991</v>
      </c>
      <c r="W89" s="58">
        <f t="shared" si="14"/>
        <v>0.13382270723939022</v>
      </c>
      <c r="X89" s="23">
        <f t="shared" si="19"/>
        <v>6.93</v>
      </c>
      <c r="Y89" s="38">
        <f t="shared" si="12"/>
        <v>69.3</v>
      </c>
      <c r="Z89" s="6">
        <f t="shared" si="15"/>
        <v>7.78</v>
      </c>
      <c r="AA89" s="5">
        <f t="shared" si="16"/>
        <v>7.5780000000000003</v>
      </c>
      <c r="AB89" s="8">
        <f t="shared" si="17"/>
        <v>1.0141084754600991</v>
      </c>
      <c r="AC89" s="7">
        <f t="shared" si="18"/>
        <v>0.13382270723939022</v>
      </c>
      <c r="AD89" s="5"/>
      <c r="AE89" s="5"/>
    </row>
    <row r="90" spans="1:31" ht="111" customHeight="1" x14ac:dyDescent="0.3">
      <c r="A90" s="26">
        <v>86</v>
      </c>
      <c r="B90" s="32">
        <f>'APÊNDICE II-MEMÓRIA DE CÁLCULO'!B91</f>
        <v>12329</v>
      </c>
      <c r="C90" s="33">
        <f>'APÊNDICE II-MEMÓRIA DE CÁLCULO'!C91</f>
        <v>328078</v>
      </c>
      <c r="D90" s="34" t="str">
        <f>'APÊNDICE II-MEMÓRIA DE CÁLCULO'!D91</f>
        <v>Detergente enzimático - com 04 enzimas, composição: lipase, amilase, protease, carboidrase, capacidade: galão com 5 litros, características adicionais: embalagem contendo externamente dados de identificação, prazo de validade e registro em órgão competente.</v>
      </c>
      <c r="E90" s="33" t="str">
        <f>'APÊNDICE II-MEMÓRIA DE CÁLCULO'!E91</f>
        <v>GALÃO</v>
      </c>
      <c r="F90" s="35">
        <f>'APÊNDICE II-MEMÓRIA DE CÁLCULO'!L91</f>
        <v>40</v>
      </c>
      <c r="G90" s="63" t="s">
        <v>809</v>
      </c>
      <c r="H90" s="64">
        <v>1</v>
      </c>
      <c r="I90" s="67">
        <v>92.97</v>
      </c>
      <c r="J90" s="73" t="s">
        <v>810</v>
      </c>
      <c r="K90" s="66">
        <v>4</v>
      </c>
      <c r="L90" s="67">
        <v>89.22</v>
      </c>
      <c r="M90" s="63" t="s">
        <v>445</v>
      </c>
      <c r="N90" s="66">
        <v>1</v>
      </c>
      <c r="O90" s="67">
        <v>111</v>
      </c>
      <c r="P90" s="68" t="s">
        <v>351</v>
      </c>
      <c r="Q90" s="66">
        <v>1</v>
      </c>
      <c r="R90" s="67">
        <v>83.9</v>
      </c>
      <c r="S90" s="68" t="s">
        <v>407</v>
      </c>
      <c r="T90" s="66">
        <v>1</v>
      </c>
      <c r="U90" s="67">
        <v>99</v>
      </c>
      <c r="V90" s="37">
        <f t="shared" si="13"/>
        <v>9.3005556823235018</v>
      </c>
      <c r="W90" s="58">
        <f t="shared" si="14"/>
        <v>9.7676444394163939E-2</v>
      </c>
      <c r="X90" s="23">
        <f t="shared" si="19"/>
        <v>92.97</v>
      </c>
      <c r="Y90" s="38">
        <f t="shared" si="12"/>
        <v>3718.8</v>
      </c>
      <c r="Z90" s="6">
        <f t="shared" si="15"/>
        <v>91.094999999999999</v>
      </c>
      <c r="AA90" s="5">
        <f t="shared" si="16"/>
        <v>95.218000000000004</v>
      </c>
      <c r="AB90" s="8">
        <f t="shared" si="17"/>
        <v>9.3005556823235018</v>
      </c>
      <c r="AC90" s="7">
        <f t="shared" si="18"/>
        <v>9.7676444394163939E-2</v>
      </c>
      <c r="AD90" s="5"/>
      <c r="AE90" s="5"/>
    </row>
    <row r="91" spans="1:31" ht="151.5" customHeight="1" x14ac:dyDescent="0.3">
      <c r="A91" s="26">
        <v>87</v>
      </c>
      <c r="B91" s="32">
        <f>'APÊNDICE II-MEMÓRIA DE CÁLCULO'!B92</f>
        <v>12330</v>
      </c>
      <c r="C91" s="33" t="str">
        <f>'APÊNDICE II-MEMÓRIA DE CÁLCULO'!C92</f>
        <v>-</v>
      </c>
      <c r="D91" s="34" t="str">
        <f>'APÊNDICE II-MEMÓRIA DE CÁLCULO'!D92</f>
        <v>Dispositivo de infusão intravenosa nº 19 G - Contendo escalpe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1" s="33" t="str">
        <f>'APÊNDICE II-MEMÓRIA DE CÁLCULO'!E92</f>
        <v>UNIDADE</v>
      </c>
      <c r="F91" s="35">
        <f>'APÊNDICE II-MEMÓRIA DE CÁLCULO'!L92</f>
        <v>1200</v>
      </c>
      <c r="G91" s="63" t="s">
        <v>809</v>
      </c>
      <c r="H91" s="64">
        <v>9</v>
      </c>
      <c r="I91" s="67">
        <v>0.26</v>
      </c>
      <c r="J91" s="56" t="s">
        <v>31</v>
      </c>
      <c r="K91" s="55" t="s">
        <v>31</v>
      </c>
      <c r="L91" s="37" t="s">
        <v>31</v>
      </c>
      <c r="M91" s="40" t="s">
        <v>31</v>
      </c>
      <c r="N91" s="55" t="s">
        <v>31</v>
      </c>
      <c r="O91" s="37" t="s">
        <v>31</v>
      </c>
      <c r="P91" s="68" t="s">
        <v>391</v>
      </c>
      <c r="Q91" s="66">
        <v>1</v>
      </c>
      <c r="R91" s="67">
        <f>39.9/100</f>
        <v>0.39899999999999997</v>
      </c>
      <c r="S91" s="68" t="s">
        <v>679</v>
      </c>
      <c r="T91" s="66">
        <v>1</v>
      </c>
      <c r="U91" s="67">
        <v>0.35</v>
      </c>
      <c r="V91" s="37">
        <f t="shared" si="13"/>
        <v>5.7563491516373098E-2</v>
      </c>
      <c r="W91" s="58">
        <f t="shared" si="14"/>
        <v>0.17115012343817573</v>
      </c>
      <c r="X91" s="23">
        <f>ROUND(SUM(I91*H91,R91*Q91,U91*T91,)/SUM(H91,Q91,T91,),2)</f>
        <v>0.28000000000000003</v>
      </c>
      <c r="Y91" s="38">
        <f t="shared" si="12"/>
        <v>336.00000000000006</v>
      </c>
      <c r="Z91" s="6">
        <f t="shared" si="15"/>
        <v>0.30499999999999999</v>
      </c>
      <c r="AA91" s="5">
        <f t="shared" si="16"/>
        <v>0.33633333333333332</v>
      </c>
      <c r="AB91" s="8">
        <f t="shared" si="17"/>
        <v>5.7563491516373098E-2</v>
      </c>
      <c r="AC91" s="7">
        <f t="shared" si="18"/>
        <v>0.17115012343817573</v>
      </c>
      <c r="AD91" s="5"/>
      <c r="AE91" s="5"/>
    </row>
    <row r="92" spans="1:31" ht="151.5" customHeight="1" x14ac:dyDescent="0.3">
      <c r="A92" s="26">
        <v>88</v>
      </c>
      <c r="B92" s="32">
        <f>'APÊNDICE II-MEMÓRIA DE CÁLCULO'!B93</f>
        <v>12331</v>
      </c>
      <c r="C92" s="33" t="str">
        <f>'APÊNDICE II-MEMÓRIA DE CÁLCULO'!C93</f>
        <v>-</v>
      </c>
      <c r="D92" s="34" t="str">
        <f>'APÊNDICE II-MEMÓRIA DE CÁLCULO'!D93</f>
        <v>Dispositivo de infusão intravenosa nº 21 G - contendo escaple com dispositivo de segurança atendendo a norma NR32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2" s="33" t="str">
        <f>'APÊNDICE II-MEMÓRIA DE CÁLCULO'!E93</f>
        <v>UNIDADE</v>
      </c>
      <c r="F92" s="35">
        <f>'APÊNDICE II-MEMÓRIA DE CÁLCULO'!L93</f>
        <v>5000</v>
      </c>
      <c r="G92" s="63" t="s">
        <v>809</v>
      </c>
      <c r="H92" s="64">
        <v>5</v>
      </c>
      <c r="I92" s="67">
        <v>0.31</v>
      </c>
      <c r="J92" s="56" t="s">
        <v>31</v>
      </c>
      <c r="K92" s="55" t="s">
        <v>31</v>
      </c>
      <c r="L92" s="37" t="s">
        <v>31</v>
      </c>
      <c r="M92" s="40" t="s">
        <v>31</v>
      </c>
      <c r="N92" s="55" t="s">
        <v>31</v>
      </c>
      <c r="O92" s="37" t="s">
        <v>31</v>
      </c>
      <c r="P92" s="68" t="s">
        <v>391</v>
      </c>
      <c r="Q92" s="66">
        <v>1</v>
      </c>
      <c r="R92" s="67">
        <f>39.9/100</f>
        <v>0.39899999999999997</v>
      </c>
      <c r="S92" s="68" t="s">
        <v>680</v>
      </c>
      <c r="T92" s="66">
        <v>1</v>
      </c>
      <c r="U92" s="67">
        <v>0.5</v>
      </c>
      <c r="V92" s="37">
        <f t="shared" si="13"/>
        <v>7.7618726262846133E-2</v>
      </c>
      <c r="W92" s="58">
        <f t="shared" si="14"/>
        <v>0.19260229841897303</v>
      </c>
      <c r="X92" s="23">
        <f>ROUND(SUM(I92*H92,R92*Q92,U92*T92,)/SUM(H92,Q92,T92,),2)</f>
        <v>0.35</v>
      </c>
      <c r="Y92" s="38">
        <f t="shared" si="12"/>
        <v>1750</v>
      </c>
      <c r="Z92" s="6">
        <f t="shared" si="15"/>
        <v>0.35449999999999998</v>
      </c>
      <c r="AA92" s="5">
        <f t="shared" si="16"/>
        <v>0.40300000000000002</v>
      </c>
      <c r="AB92" s="8">
        <f t="shared" si="17"/>
        <v>7.7618726262846133E-2</v>
      </c>
      <c r="AC92" s="7">
        <f t="shared" si="18"/>
        <v>0.19260229841897303</v>
      </c>
      <c r="AD92" s="5"/>
      <c r="AE92" s="5"/>
    </row>
    <row r="93" spans="1:31" ht="151.5" customHeight="1" x14ac:dyDescent="0.3">
      <c r="A93" s="26">
        <v>89</v>
      </c>
      <c r="B93" s="32">
        <f>'APÊNDICE II-MEMÓRIA DE CÁLCULO'!B94</f>
        <v>12332</v>
      </c>
      <c r="C93" s="33" t="str">
        <f>'APÊNDICE II-MEMÓRIA DE CÁLCULO'!C94</f>
        <v>-</v>
      </c>
      <c r="D93" s="34" t="str">
        <f>'APÊNDICE II-MEMÓRIA DE CÁLCULO'!D94</f>
        <v>Dispositivo de infusão intravenosa nº 23 G - contendo escalpe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3" s="33" t="str">
        <f>'APÊNDICE II-MEMÓRIA DE CÁLCULO'!E94</f>
        <v>UNIDADE</v>
      </c>
      <c r="F93" s="35">
        <f>'APÊNDICE II-MEMÓRIA DE CÁLCULO'!L94</f>
        <v>12200</v>
      </c>
      <c r="G93" s="63" t="s">
        <v>809</v>
      </c>
      <c r="H93" s="64">
        <v>1</v>
      </c>
      <c r="I93" s="67">
        <v>0.53</v>
      </c>
      <c r="J93" s="56" t="s">
        <v>31</v>
      </c>
      <c r="K93" s="55" t="s">
        <v>31</v>
      </c>
      <c r="L93" s="37" t="s">
        <v>31</v>
      </c>
      <c r="M93" s="63" t="s">
        <v>446</v>
      </c>
      <c r="N93" s="66">
        <v>1</v>
      </c>
      <c r="O93" s="67">
        <v>0.28999999999999998</v>
      </c>
      <c r="P93" s="68" t="s">
        <v>382</v>
      </c>
      <c r="Q93" s="66">
        <v>1</v>
      </c>
      <c r="R93" s="67">
        <v>0.49</v>
      </c>
      <c r="S93" s="68" t="s">
        <v>351</v>
      </c>
      <c r="T93" s="66">
        <v>1</v>
      </c>
      <c r="U93" s="67">
        <v>0.39</v>
      </c>
      <c r="V93" s="37">
        <f t="shared" si="13"/>
        <v>9.3139680050985579E-2</v>
      </c>
      <c r="W93" s="58">
        <f t="shared" si="14"/>
        <v>0.21915218835526015</v>
      </c>
      <c r="X93" s="23">
        <f>ROUND(SUM(I93*H93,O93*N93,R93*Q93,U93*T93,)/SUM(H93,N93,Q93,T93,),2)</f>
        <v>0.43</v>
      </c>
      <c r="Y93" s="38">
        <f t="shared" si="12"/>
        <v>5246</v>
      </c>
      <c r="Z93" s="6">
        <f t="shared" si="15"/>
        <v>0.39</v>
      </c>
      <c r="AA93" s="5">
        <f t="shared" si="16"/>
        <v>0.42500000000000004</v>
      </c>
      <c r="AB93" s="8">
        <f t="shared" si="17"/>
        <v>9.3139680050985579E-2</v>
      </c>
      <c r="AC93" s="7">
        <f t="shared" si="18"/>
        <v>0.21915218835526015</v>
      </c>
      <c r="AD93" s="5"/>
      <c r="AE93" s="5"/>
    </row>
    <row r="94" spans="1:31" ht="151.5" customHeight="1" x14ac:dyDescent="0.3">
      <c r="A94" s="26">
        <v>90</v>
      </c>
      <c r="B94" s="32">
        <f>'APÊNDICE II-MEMÓRIA DE CÁLCULO'!B95</f>
        <v>12333</v>
      </c>
      <c r="C94" s="33" t="str">
        <f>'APÊNDICE II-MEMÓRIA DE CÁLCULO'!C95</f>
        <v>-</v>
      </c>
      <c r="D94" s="34" t="str">
        <f>'APÊNDICE II-MEMÓRIA DE CÁLCULO'!D95</f>
        <v>Dispositivo de infusão intravenosa nº 25 G - contendo escaple com dispositivo de segurança atendendo a norma NR 32 aprovada pela portaria MTE 485 de 11/11/200. Composto de cânula de aço inoxidável, parede fina, siliconizada, bisel biangulado e trifacetado, com protetor firme, asa lisa, flexível, tubo transparente, flexível com conector Luer Lock universal, com protetor enroscado, estéril, atóxico, apirogênico. Embalagem individual de papel grau cirúrgico e/ou com filme termoplástico, com abertura em pétala, constando externamente dados de identificação e procedência, data e tipo de esterilização, prazo de validade e registro em órgão competente.</v>
      </c>
      <c r="E94" s="33" t="str">
        <f>'APÊNDICE II-MEMÓRIA DE CÁLCULO'!E95</f>
        <v>UNIDADE</v>
      </c>
      <c r="F94" s="35">
        <f>'APÊNDICE II-MEMÓRIA DE CÁLCULO'!L95</f>
        <v>700</v>
      </c>
      <c r="G94" s="63" t="s">
        <v>809</v>
      </c>
      <c r="H94" s="64">
        <v>10</v>
      </c>
      <c r="I94" s="67">
        <v>0.25</v>
      </c>
      <c r="J94" s="56" t="s">
        <v>31</v>
      </c>
      <c r="K94" s="55" t="s">
        <v>31</v>
      </c>
      <c r="L94" s="37" t="s">
        <v>31</v>
      </c>
      <c r="M94" s="63" t="s">
        <v>447</v>
      </c>
      <c r="N94" s="66">
        <v>1</v>
      </c>
      <c r="O94" s="67">
        <v>0.28000000000000003</v>
      </c>
      <c r="P94" s="68" t="s">
        <v>382</v>
      </c>
      <c r="Q94" s="66">
        <v>1</v>
      </c>
      <c r="R94" s="67">
        <f>39.9/100</f>
        <v>0.39899999999999997</v>
      </c>
      <c r="S94" s="68" t="s">
        <v>681</v>
      </c>
      <c r="T94" s="66">
        <v>1</v>
      </c>
      <c r="U94" s="67">
        <v>0.28000000000000003</v>
      </c>
      <c r="V94" s="37">
        <f t="shared" si="13"/>
        <v>5.718555324555314E-2</v>
      </c>
      <c r="W94" s="58">
        <f t="shared" si="14"/>
        <v>0.18919951446006</v>
      </c>
      <c r="X94" s="23">
        <f>ROUND(SUM(I94*H94,O94*N94,R94*Q94,U94*T94,)/SUM(H94,N94,Q94,T94,),2)</f>
        <v>0.27</v>
      </c>
      <c r="Y94" s="38">
        <f t="shared" si="12"/>
        <v>189</v>
      </c>
      <c r="Z94" s="6">
        <f t="shared" si="15"/>
        <v>0.28000000000000003</v>
      </c>
      <c r="AA94" s="5">
        <f t="shared" si="16"/>
        <v>0.30225000000000002</v>
      </c>
      <c r="AB94" s="8">
        <f t="shared" si="17"/>
        <v>5.718555324555314E-2</v>
      </c>
      <c r="AC94" s="7">
        <f t="shared" si="18"/>
        <v>0.18919951446006</v>
      </c>
      <c r="AD94" s="5"/>
      <c r="AE94" s="5"/>
    </row>
    <row r="95" spans="1:31" ht="216" customHeight="1" x14ac:dyDescent="0.3">
      <c r="A95" s="26">
        <v>91</v>
      </c>
      <c r="B95" s="32">
        <f>'APÊNDICE II-MEMÓRIA DE CÁLCULO'!B96</f>
        <v>12334</v>
      </c>
      <c r="C95" s="33" t="str">
        <f>'APÊNDICE II-MEMÓRIA DE CÁLCULO'!C96</f>
        <v>-</v>
      </c>
      <c r="D95" s="34" t="str">
        <f>'APÊNDICE II-MEMÓRIA DE CÁLCULO'!D96</f>
        <v>Dispositivo para transferência de fluídos estéreis - (soluções parenterais), uso em sistema fechado, perfeitamente adaptável, de modo universal, a qualquer embalagem de sistema fechado, sem contato com o ambiente externo, de uso único descartável, estéril, atóxico, duas pontas perfurantes com tampa protetora, pega ergonômica que evita o contato das mãos e facilita o manuseio pelo profissional. Embalagem: acondicionada individualmente de acordo com normas de embalagem RDC 185/2001, que garanta a integridade do produto ate o momento da sua utilização, permita a abertura e transferência com técnica asséptica, constando externamente dados de identificação do produto, nº de lote, data, validade e método de esterilização, dados de identificação do fabricante, nº.de registro no ministério da saúde dispositivo para transferência de fluídos estéreis - para utilização em frascos de soros fisiológico e água destilada, para a realização de procedimentos de nebulização, lavagens de curativos, umidificadores.</v>
      </c>
      <c r="E95" s="33" t="str">
        <f>'APÊNDICE II-MEMÓRIA DE CÁLCULO'!E96</f>
        <v>UNIDADE</v>
      </c>
      <c r="F95" s="35">
        <f>'APÊNDICE II-MEMÓRIA DE CÁLCULO'!L96</f>
        <v>1500</v>
      </c>
      <c r="G95" s="63" t="s">
        <v>809</v>
      </c>
      <c r="H95" s="64">
        <v>1</v>
      </c>
      <c r="I95" s="67">
        <v>0.9</v>
      </c>
      <c r="J95" s="56" t="s">
        <v>31</v>
      </c>
      <c r="K95" s="55" t="s">
        <v>31</v>
      </c>
      <c r="L95" s="37" t="s">
        <v>31</v>
      </c>
      <c r="M95" s="63" t="s">
        <v>448</v>
      </c>
      <c r="N95" s="66">
        <v>1</v>
      </c>
      <c r="O95" s="67">
        <v>1.05</v>
      </c>
      <c r="P95" s="68" t="s">
        <v>682</v>
      </c>
      <c r="Q95" s="66">
        <v>1</v>
      </c>
      <c r="R95" s="67">
        <v>0.86</v>
      </c>
      <c r="S95" s="68" t="s">
        <v>396</v>
      </c>
      <c r="T95" s="66">
        <v>1</v>
      </c>
      <c r="U95" s="67">
        <v>0.8</v>
      </c>
      <c r="V95" s="37">
        <f t="shared" si="13"/>
        <v>9.2297074709873167E-2</v>
      </c>
      <c r="W95" s="58">
        <f t="shared" si="14"/>
        <v>0.10226822682534421</v>
      </c>
      <c r="X95" s="23">
        <f>ROUND(SUM(I95*H95,O95*N95,R95*Q95,U95*T95,)/SUM(H95,N95,Q95,T95,),2)</f>
        <v>0.9</v>
      </c>
      <c r="Y95" s="38">
        <f t="shared" si="12"/>
        <v>1350</v>
      </c>
      <c r="Z95" s="6">
        <f t="shared" si="15"/>
        <v>0.86</v>
      </c>
      <c r="AA95" s="5">
        <f t="shared" si="16"/>
        <v>0.90250000000000008</v>
      </c>
      <c r="AB95" s="8">
        <f t="shared" si="17"/>
        <v>9.2297074709873167E-2</v>
      </c>
      <c r="AC95" s="7">
        <f t="shared" si="18"/>
        <v>0.10226822682534421</v>
      </c>
      <c r="AD95" s="5"/>
      <c r="AE95" s="5"/>
    </row>
    <row r="96" spans="1:31" ht="151.5" customHeight="1" x14ac:dyDescent="0.3">
      <c r="A96" s="26">
        <v>92</v>
      </c>
      <c r="B96" s="32">
        <f>'APÊNDICE II-MEMÓRIA DE CÁLCULO'!B97</f>
        <v>12335</v>
      </c>
      <c r="C96" s="33" t="str">
        <f>'APÊNDICE II-MEMÓRIA DE CÁLCULO'!C97</f>
        <v>-</v>
      </c>
      <c r="D96" s="34" t="str">
        <f>'APÊNDICE II-MEMÓRIA DE CÁLCULO'!D97</f>
        <v>Espaçador para aerossolterapia infantil, máscara tamanho: P (0 a 2 anos),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v>
      </c>
      <c r="E96" s="33" t="str">
        <f>'APÊNDICE II-MEMÓRIA DE CÁLCULO'!E97</f>
        <v>UNIDADE</v>
      </c>
      <c r="F96" s="35">
        <f>'APÊNDICE II-MEMÓRIA DE CÁLCULO'!L97</f>
        <v>100</v>
      </c>
      <c r="G96" s="63" t="s">
        <v>809</v>
      </c>
      <c r="H96" s="64">
        <v>1</v>
      </c>
      <c r="I96" s="67">
        <v>17.350000000000001</v>
      </c>
      <c r="J96" s="73" t="s">
        <v>810</v>
      </c>
      <c r="K96" s="66">
        <v>2</v>
      </c>
      <c r="L96" s="67">
        <v>22.5</v>
      </c>
      <c r="M96" s="63" t="s">
        <v>496</v>
      </c>
      <c r="N96" s="66">
        <v>1</v>
      </c>
      <c r="O96" s="67">
        <v>22.75</v>
      </c>
      <c r="P96" s="68" t="s">
        <v>683</v>
      </c>
      <c r="Q96" s="66">
        <v>1</v>
      </c>
      <c r="R96" s="67">
        <v>22</v>
      </c>
      <c r="S96" s="68" t="s">
        <v>344</v>
      </c>
      <c r="T96" s="66">
        <v>1</v>
      </c>
      <c r="U96" s="67">
        <v>23.06</v>
      </c>
      <c r="V96" s="37">
        <f t="shared" si="13"/>
        <v>2.1195980751076364</v>
      </c>
      <c r="W96" s="58">
        <f t="shared" si="14"/>
        <v>9.8439442462736226E-2</v>
      </c>
      <c r="X96" s="23">
        <f>ROUND(SUM(I96*H96,O96*N96,R96*Q96,U96*T96,)/SUM(H96,N96,Q96,T96,),2)</f>
        <v>21.29</v>
      </c>
      <c r="Y96" s="38">
        <f t="shared" si="12"/>
        <v>2129</v>
      </c>
      <c r="Z96" s="6">
        <f t="shared" si="15"/>
        <v>22.25</v>
      </c>
      <c r="AA96" s="5">
        <f t="shared" si="16"/>
        <v>21.532</v>
      </c>
      <c r="AB96" s="8">
        <f t="shared" si="17"/>
        <v>2.1195980751076364</v>
      </c>
      <c r="AC96" s="7">
        <f t="shared" si="18"/>
        <v>9.8439442462736226E-2</v>
      </c>
      <c r="AD96" s="5"/>
      <c r="AE96" s="5"/>
    </row>
    <row r="97" spans="1:31" ht="111" customHeight="1" x14ac:dyDescent="0.3">
      <c r="A97" s="26">
        <v>93</v>
      </c>
      <c r="B97" s="32">
        <f>'APÊNDICE II-MEMÓRIA DE CÁLCULO'!B98</f>
        <v>12336</v>
      </c>
      <c r="C97" s="33" t="str">
        <f>'APÊNDICE II-MEMÓRIA DE CÁLCULO'!C98</f>
        <v>-</v>
      </c>
      <c r="D97" s="34" t="str">
        <f>'APÊNDICE II-MEMÓRIA DE CÁLCULO'!D98</f>
        <v>Equipo para transfusão sanguínea (sangue) - Tamanho: 150cm,  Lanceta perfurante para conexão ao recipiente sangue; Câmara dupla flexível sendo a primeira dotada de filtro de sangue para retenção de coágulos, e a segunda para visualização e controle de gotejamento; Extensão em PVC; Controlador de fluxo (gotejamento) tipo pinça rolete; Conexão luer para dispositivo de acesso venoso.</v>
      </c>
      <c r="E97" s="33" t="str">
        <f>'APÊNDICE II-MEMÓRIA DE CÁLCULO'!E98</f>
        <v>UNIDADE</v>
      </c>
      <c r="F97" s="35">
        <f>'APÊNDICE II-MEMÓRIA DE CÁLCULO'!L98</f>
        <v>1000</v>
      </c>
      <c r="G97" s="63" t="s">
        <v>809</v>
      </c>
      <c r="H97" s="64">
        <v>3</v>
      </c>
      <c r="I97" s="67">
        <v>4.76</v>
      </c>
      <c r="J97" s="56"/>
      <c r="K97" s="55" t="s">
        <v>31</v>
      </c>
      <c r="L97" s="37" t="s">
        <v>31</v>
      </c>
      <c r="M97" s="40" t="s">
        <v>31</v>
      </c>
      <c r="N97" s="55" t="s">
        <v>31</v>
      </c>
      <c r="O97" s="37" t="s">
        <v>31</v>
      </c>
      <c r="P97" s="68" t="s">
        <v>395</v>
      </c>
      <c r="Q97" s="66">
        <v>1</v>
      </c>
      <c r="R97" s="67">
        <v>5.04</v>
      </c>
      <c r="S97" s="68" t="s">
        <v>351</v>
      </c>
      <c r="T97" s="66">
        <v>1</v>
      </c>
      <c r="U97" s="67">
        <v>4.99</v>
      </c>
      <c r="V97" s="37">
        <f t="shared" si="13"/>
        <v>0.12192894105447935</v>
      </c>
      <c r="W97" s="58">
        <f t="shared" si="14"/>
        <v>2.4732036725046518E-2</v>
      </c>
      <c r="X97" s="23">
        <f>ROUND(SUM(I97*H97,R97*Q97,U97*T97,)/SUM(H97,Q97,T97,),2)</f>
        <v>4.8600000000000003</v>
      </c>
      <c r="Y97" s="38">
        <f t="shared" si="12"/>
        <v>4860</v>
      </c>
      <c r="Z97" s="6">
        <f t="shared" si="15"/>
        <v>4.875</v>
      </c>
      <c r="AA97" s="5">
        <f t="shared" si="16"/>
        <v>4.9300000000000006</v>
      </c>
      <c r="AB97" s="8">
        <f t="shared" si="17"/>
        <v>0.12192894105447935</v>
      </c>
      <c r="AC97" s="7">
        <f t="shared" si="18"/>
        <v>2.4732036725046518E-2</v>
      </c>
      <c r="AD97" s="5"/>
      <c r="AE97" s="5"/>
    </row>
    <row r="98" spans="1:31" ht="111" customHeight="1" x14ac:dyDescent="0.3">
      <c r="A98" s="26">
        <v>94</v>
      </c>
      <c r="B98" s="32">
        <f>'APÊNDICE II-MEMÓRIA DE CÁLCULO'!B99</f>
        <v>12337</v>
      </c>
      <c r="C98" s="33" t="str">
        <f>'APÊNDICE II-MEMÓRIA DE CÁLCULO'!C99</f>
        <v>-</v>
      </c>
      <c r="D98" s="34" t="str">
        <f>'APÊNDICE II-MEMÓRIA DE CÁLCULO'!D99</f>
        <v>Espaçador para aerossolterapia adulto - máscara tamanho: adulto, características: composto por câmara plástica, com bocal valvulado unidirecional com encaixe universal para embalagens de aerossol, com máscara facial ultra flexível, transparente e adaptador, reservatório rígido translúcido, apresenta-se em material atóxico e resistente a lavagem e desinfecção, livre de látex e BPA. Embalagem contendo externamente dados de identificação e procedência, com registro ANVISA.</v>
      </c>
      <c r="E98" s="33" t="str">
        <f>'APÊNDICE II-MEMÓRIA DE CÁLCULO'!E99</f>
        <v>UNIDADE</v>
      </c>
      <c r="F98" s="35">
        <f>'APÊNDICE II-MEMÓRIA DE CÁLCULO'!L99</f>
        <v>100</v>
      </c>
      <c r="G98" s="63" t="s">
        <v>809</v>
      </c>
      <c r="H98" s="64">
        <v>1</v>
      </c>
      <c r="I98" s="67">
        <v>24</v>
      </c>
      <c r="J98" s="56"/>
      <c r="K98" s="55" t="s">
        <v>31</v>
      </c>
      <c r="L98" s="37" t="s">
        <v>31</v>
      </c>
      <c r="M98" s="63" t="s">
        <v>497</v>
      </c>
      <c r="N98" s="66">
        <v>1</v>
      </c>
      <c r="O98" s="67">
        <v>22.75</v>
      </c>
      <c r="P98" s="68" t="s">
        <v>684</v>
      </c>
      <c r="Q98" s="66">
        <v>1</v>
      </c>
      <c r="R98" s="67">
        <v>34</v>
      </c>
      <c r="S98" s="68" t="s">
        <v>377</v>
      </c>
      <c r="T98" s="66">
        <v>1</v>
      </c>
      <c r="U98" s="67">
        <v>39.9</v>
      </c>
      <c r="V98" s="37">
        <f t="shared" si="13"/>
        <v>7.1145427646476351</v>
      </c>
      <c r="W98" s="58">
        <f t="shared" si="14"/>
        <v>0.23587377586896427</v>
      </c>
      <c r="X98" s="23">
        <f>ROUND(SUM(I98*H98,O98*N98,R98*Q98,U98*T98,)/SUM(H98,N98,Q98,T98,),2)</f>
        <v>30.16</v>
      </c>
      <c r="Y98" s="38">
        <f t="shared" si="12"/>
        <v>3016</v>
      </c>
      <c r="Z98" s="6">
        <f t="shared" si="15"/>
        <v>24</v>
      </c>
      <c r="AA98" s="5">
        <f t="shared" si="16"/>
        <v>30.162500000000001</v>
      </c>
      <c r="AB98" s="8">
        <f t="shared" si="17"/>
        <v>7.1145427646476351</v>
      </c>
      <c r="AC98" s="7">
        <f t="shared" si="18"/>
        <v>0.23587377586896427</v>
      </c>
      <c r="AD98" s="5"/>
      <c r="AE98" s="5"/>
    </row>
    <row r="99" spans="1:31" ht="111" customHeight="1" x14ac:dyDescent="0.3">
      <c r="A99" s="26">
        <v>95</v>
      </c>
      <c r="B99" s="32">
        <f>'APÊNDICE II-MEMÓRIA DE CÁLCULO'!B100</f>
        <v>12338</v>
      </c>
      <c r="C99" s="33" t="str">
        <f>'APÊNDICE II-MEMÓRIA DE CÁLCULO'!C100</f>
        <v>-</v>
      </c>
      <c r="D99" s="34" t="str">
        <f>'APÊNDICE II-MEMÓRIA DE CÁLCULO'!D100</f>
        <v>Éter etílico - concentração: 35%, apresentação: líquido, capacidade: frasco com 1 litro, características adicionais: incolor, de odor penetrante, inflamável e volátil. Embalagem com dados de identificação e procedência, data de fabricação expedida por órgão competente.</v>
      </c>
      <c r="E99" s="33" t="str">
        <f>'APÊNDICE II-MEMÓRIA DE CÁLCULO'!E100</f>
        <v>UNIDADE</v>
      </c>
      <c r="F99" s="35">
        <f>'APÊNDICE II-MEMÓRIA DE CÁLCULO'!L100</f>
        <v>20</v>
      </c>
      <c r="G99" s="63" t="s">
        <v>809</v>
      </c>
      <c r="H99" s="64">
        <v>5</v>
      </c>
      <c r="I99" s="67">
        <v>29.24</v>
      </c>
      <c r="J99" s="56"/>
      <c r="K99" s="55" t="s">
        <v>31</v>
      </c>
      <c r="L99" s="37" t="s">
        <v>31</v>
      </c>
      <c r="M99" s="40" t="s">
        <v>31</v>
      </c>
      <c r="N99" s="55" t="s">
        <v>31</v>
      </c>
      <c r="O99" s="37" t="s">
        <v>31</v>
      </c>
      <c r="P99" s="68" t="s">
        <v>396</v>
      </c>
      <c r="Q99" s="66">
        <v>1</v>
      </c>
      <c r="R99" s="67">
        <v>46.16</v>
      </c>
      <c r="S99" s="68" t="s">
        <v>806</v>
      </c>
      <c r="T99" s="66">
        <v>1</v>
      </c>
      <c r="U99" s="67">
        <v>53.5</v>
      </c>
      <c r="V99" s="37">
        <f t="shared" si="13"/>
        <v>10.158245692813093</v>
      </c>
      <c r="W99" s="58">
        <f t="shared" si="14"/>
        <v>0.23642154444095642</v>
      </c>
      <c r="X99" s="23">
        <f>ROUND(SUM(I99*H99,R99*Q99,U99*T99,)/SUM(H99,Q99,T99,),2)</f>
        <v>35.119999999999997</v>
      </c>
      <c r="Y99" s="38">
        <f t="shared" si="12"/>
        <v>702.4</v>
      </c>
      <c r="Z99" s="6">
        <f t="shared" si="15"/>
        <v>37.699999999999996</v>
      </c>
      <c r="AA99" s="5">
        <f t="shared" si="16"/>
        <v>42.966666666666661</v>
      </c>
      <c r="AB99" s="8">
        <f t="shared" si="17"/>
        <v>10.158245692813093</v>
      </c>
      <c r="AC99" s="7">
        <f t="shared" si="18"/>
        <v>0.23642154444095642</v>
      </c>
      <c r="AD99" s="5"/>
      <c r="AE99" s="5"/>
    </row>
    <row r="100" spans="1:31" ht="146.25" customHeight="1" x14ac:dyDescent="0.3">
      <c r="A100" s="26">
        <v>96</v>
      </c>
      <c r="B100" s="32">
        <f>'APÊNDICE II-MEMÓRIA DE CÁLCULO'!B101</f>
        <v>12339</v>
      </c>
      <c r="C100" s="33">
        <f>'APÊNDICE II-MEMÓRIA DE CÁLCULO'!C101</f>
        <v>386115</v>
      </c>
      <c r="D100" s="34" t="str">
        <f>'APÊNDICE II-MEMÓRIA DE CÁLCULO'!D101</f>
        <v>Equipo micro gotas com injetor lateral - material: PVC transparente, comprimento: mínimo de 1,20M, volume bureta: mínimo de 50 ML, características adicionais: para soro microgotas com pinça roldana, câmara flexível, composta de lanceta com ponta perfurante, escalonada, regulador de fluxo tipo rolete, tubo flexível,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v>
      </c>
      <c r="E100" s="33" t="str">
        <f>'APÊNDICE II-MEMÓRIA DE CÁLCULO'!E101</f>
        <v>UNIDADE</v>
      </c>
      <c r="F100" s="35">
        <f>'APÊNDICE II-MEMÓRIA DE CÁLCULO'!L101</f>
        <v>100</v>
      </c>
      <c r="G100" s="63" t="s">
        <v>809</v>
      </c>
      <c r="H100" s="64">
        <v>1</v>
      </c>
      <c r="I100" s="67">
        <v>0.72</v>
      </c>
      <c r="J100" s="73" t="s">
        <v>810</v>
      </c>
      <c r="K100" s="66">
        <v>1</v>
      </c>
      <c r="L100" s="67">
        <v>1.49</v>
      </c>
      <c r="M100" s="63" t="s">
        <v>574</v>
      </c>
      <c r="N100" s="66">
        <v>1</v>
      </c>
      <c r="O100" s="67">
        <v>0.99</v>
      </c>
      <c r="P100" s="68" t="s">
        <v>384</v>
      </c>
      <c r="Q100" s="66">
        <v>1</v>
      </c>
      <c r="R100" s="67">
        <v>0.96</v>
      </c>
      <c r="S100" s="68" t="s">
        <v>685</v>
      </c>
      <c r="T100" s="66">
        <v>1</v>
      </c>
      <c r="U100" s="67">
        <v>1.1100000000000001</v>
      </c>
      <c r="V100" s="37">
        <f t="shared" si="13"/>
        <v>0.25207935258564851</v>
      </c>
      <c r="W100" s="58">
        <f t="shared" si="14"/>
        <v>0.23916447114387904</v>
      </c>
      <c r="X100" s="23">
        <f>ROUND(SUM(I100*H100,L100*K100,O100*N100,R100*Q100,U100*T100,)/SUM(H100,K100,N100,Q100,T100,),2)</f>
        <v>1.05</v>
      </c>
      <c r="Y100" s="38">
        <f t="shared" si="12"/>
        <v>105</v>
      </c>
      <c r="Z100" s="6">
        <f t="shared" si="15"/>
        <v>0.97499999999999998</v>
      </c>
      <c r="AA100" s="5">
        <f t="shared" si="16"/>
        <v>1.054</v>
      </c>
      <c r="AB100" s="8">
        <f t="shared" si="17"/>
        <v>0.25207935258564851</v>
      </c>
      <c r="AC100" s="7">
        <f t="shared" si="18"/>
        <v>0.23916447114387904</v>
      </c>
      <c r="AD100" s="5"/>
      <c r="AE100" s="5"/>
    </row>
    <row r="101" spans="1:31" ht="144" customHeight="1" x14ac:dyDescent="0.3">
      <c r="A101" s="26">
        <v>97</v>
      </c>
      <c r="B101" s="32">
        <f>'APÊNDICE II-MEMÓRIA DE CÁLCULO'!B102</f>
        <v>12340</v>
      </c>
      <c r="C101" s="33" t="str">
        <f>'APÊNDICE II-MEMÓRIA DE CÁLCULO'!C102</f>
        <v>-</v>
      </c>
      <c r="D101" s="34" t="str">
        <f>'APÊNDICE II-MEMÓRIA DE CÁLCULO'!D102</f>
        <v>Equipo macrogotas - uso: para soro, material: tudo flexível em PVC transparente, com pinça roldana, comprimento: mínimo de 1,20M, características adicionais: câmara flexível, composta de lanceta com ponta perfurante, escalonada, regulador de fluxo tipo rolete, com injetor lateral com membrana auto vedante, e adaptador Luer., estéril, atóxico, apirogênio, compatível com frasco de soros sistema fechado. Embalagem individual em papel grau cirúrgico e filme termoplástico, com abertura em pétala, constando de dados de identificação e procedência, lote, data e tipo esterilização, prazo de validade e registro em órgão competente.</v>
      </c>
      <c r="E101" s="33" t="str">
        <f>'APÊNDICE II-MEMÓRIA DE CÁLCULO'!E102</f>
        <v>UNIDADE</v>
      </c>
      <c r="F101" s="35">
        <f>'APÊNDICE II-MEMÓRIA DE CÁLCULO'!L102</f>
        <v>30950</v>
      </c>
      <c r="G101" s="63" t="s">
        <v>809</v>
      </c>
      <c r="H101" s="64">
        <v>4</v>
      </c>
      <c r="I101" s="67">
        <v>1.07</v>
      </c>
      <c r="J101" s="73" t="s">
        <v>810</v>
      </c>
      <c r="K101" s="55" t="s">
        <v>31</v>
      </c>
      <c r="L101" s="37" t="s">
        <v>31</v>
      </c>
      <c r="M101" s="63" t="s">
        <v>573</v>
      </c>
      <c r="N101" s="66">
        <v>1</v>
      </c>
      <c r="O101" s="67">
        <v>0.59</v>
      </c>
      <c r="P101" s="68" t="s">
        <v>686</v>
      </c>
      <c r="Q101" s="66">
        <v>1</v>
      </c>
      <c r="R101" s="67">
        <v>1.08</v>
      </c>
      <c r="S101" s="68" t="s">
        <v>685</v>
      </c>
      <c r="T101" s="66">
        <v>1</v>
      </c>
      <c r="U101" s="67">
        <v>1.26</v>
      </c>
      <c r="V101" s="37">
        <f t="shared" si="13"/>
        <v>0.24849547279578349</v>
      </c>
      <c r="W101" s="58">
        <f t="shared" si="14"/>
        <v>0.24849547279578349</v>
      </c>
      <c r="X101" s="23">
        <f>ROUND(SUM(I101*H101,O101*N101,R101*Q101,U101*T101,)/SUM(H101,N101,Q101,T101,),2)</f>
        <v>1.03</v>
      </c>
      <c r="Y101" s="38">
        <f t="shared" si="12"/>
        <v>31878.5</v>
      </c>
      <c r="Z101" s="6">
        <f t="shared" si="15"/>
        <v>1.07</v>
      </c>
      <c r="AA101" s="5">
        <f t="shared" si="16"/>
        <v>1</v>
      </c>
      <c r="AB101" s="8">
        <f t="shared" si="17"/>
        <v>0.24849547279578349</v>
      </c>
      <c r="AC101" s="7">
        <f t="shared" si="18"/>
        <v>0.24849547279578349</v>
      </c>
      <c r="AD101" s="5"/>
      <c r="AE101" s="5"/>
    </row>
    <row r="102" spans="1:31" ht="111" customHeight="1" x14ac:dyDescent="0.3">
      <c r="A102" s="26">
        <v>98</v>
      </c>
      <c r="B102" s="32">
        <f>'APÊNDICE II-MEMÓRIA DE CÁLCULO'!B103</f>
        <v>12341</v>
      </c>
      <c r="C102" s="33" t="str">
        <f>'APÊNDICE II-MEMÓRIA DE CÁLCULO'!C103</f>
        <v>-</v>
      </c>
      <c r="D102" s="34" t="str">
        <f>'APÊNDICE II-MEMÓRIA DE CÁLCULO'!D103</f>
        <v>Equipo 2 vias Multivias - dispositivo multiplicador de acesso venoso, luer fêmea de 2 vias, com clamp de fechamento rápido nas vias, material: PVC flexível. Embalagem individual de papel grau cirúrgico e/ou com filme termoplástico, com abertura em pétala, constando externamente dados de identificação e procedência, data e tipo de esterilização, prazo de validade e registro em órgão competente.</v>
      </c>
      <c r="E102" s="33" t="str">
        <f>'APÊNDICE II-MEMÓRIA DE CÁLCULO'!E103</f>
        <v>UNIDADE</v>
      </c>
      <c r="F102" s="35">
        <f>'APÊNDICE II-MEMÓRIA DE CÁLCULO'!L103</f>
        <v>600</v>
      </c>
      <c r="G102" s="63" t="s">
        <v>809</v>
      </c>
      <c r="H102" s="64">
        <v>3</v>
      </c>
      <c r="I102" s="67">
        <v>0.71</v>
      </c>
      <c r="J102" s="73" t="s">
        <v>810</v>
      </c>
      <c r="K102" s="55" t="s">
        <v>31</v>
      </c>
      <c r="L102" s="37" t="s">
        <v>31</v>
      </c>
      <c r="M102" s="63" t="s">
        <v>575</v>
      </c>
      <c r="N102" s="66">
        <v>1</v>
      </c>
      <c r="O102" s="67">
        <v>0.79</v>
      </c>
      <c r="P102" s="68" t="s">
        <v>405</v>
      </c>
      <c r="Q102" s="66">
        <v>1</v>
      </c>
      <c r="R102" s="67">
        <v>0.89</v>
      </c>
      <c r="S102" s="68" t="s">
        <v>367</v>
      </c>
      <c r="T102" s="66">
        <v>1</v>
      </c>
      <c r="U102" s="67">
        <v>1.08</v>
      </c>
      <c r="V102" s="37">
        <f t="shared" si="13"/>
        <v>0.1382705680902486</v>
      </c>
      <c r="W102" s="58">
        <f t="shared" si="14"/>
        <v>0.15938970385043064</v>
      </c>
      <c r="X102" s="23">
        <f>ROUND(SUM(I102*H102,O102*N102,R102*Q102,U102*T102,)/SUM(H102,N102,Q102,T102,),2)</f>
        <v>0.82</v>
      </c>
      <c r="Y102" s="38">
        <f t="shared" si="12"/>
        <v>491.99999999999994</v>
      </c>
      <c r="Z102" s="6">
        <f t="shared" si="15"/>
        <v>0.79</v>
      </c>
      <c r="AA102" s="5">
        <f t="shared" si="16"/>
        <v>0.86750000000000005</v>
      </c>
      <c r="AB102" s="8">
        <f t="shared" si="17"/>
        <v>0.1382705680902486</v>
      </c>
      <c r="AC102" s="7">
        <f t="shared" si="18"/>
        <v>0.15938970385043064</v>
      </c>
      <c r="AD102" s="5"/>
      <c r="AE102" s="5"/>
    </row>
    <row r="103" spans="1:31" s="17" customFormat="1" ht="111" customHeight="1" x14ac:dyDescent="0.3">
      <c r="A103" s="26">
        <v>99</v>
      </c>
      <c r="B103" s="32">
        <f>'APÊNDICE II-MEMÓRIA DE CÁLCULO'!B104</f>
        <v>16557</v>
      </c>
      <c r="C103" s="33" t="str">
        <f>'APÊNDICE II-MEMÓRIA DE CÁLCULO'!C104</f>
        <v>-</v>
      </c>
      <c r="D103" s="34" t="str">
        <f>'APÊNDICE II-MEMÓRIA DE CÁLCULO'!D104</f>
        <v>Eletrodo - uso médico, aplicação: ECG, tipo uso: descartável, uso único, material: espuma/ gel sólido, apresentação: características adicionais: embalagem protetora individual contendo externamente dados de identificação e procedência, lote e registro em órgão competente</v>
      </c>
      <c r="E103" s="33" t="str">
        <f>'APÊNDICE II-MEMÓRIA DE CÁLCULO'!E104</f>
        <v>UNIDADE</v>
      </c>
      <c r="F103" s="35">
        <f>'APÊNDICE II-MEMÓRIA DE CÁLCULO'!L104</f>
        <v>3876</v>
      </c>
      <c r="G103" s="63" t="s">
        <v>809</v>
      </c>
      <c r="H103" s="64">
        <v>4</v>
      </c>
      <c r="I103" s="67">
        <v>0.38</v>
      </c>
      <c r="J103" s="56" t="s">
        <v>31</v>
      </c>
      <c r="K103" s="55" t="s">
        <v>31</v>
      </c>
      <c r="L103" s="37" t="s">
        <v>31</v>
      </c>
      <c r="M103" s="25" t="s">
        <v>31</v>
      </c>
      <c r="N103" s="55" t="s">
        <v>31</v>
      </c>
      <c r="O103" s="37" t="s">
        <v>31</v>
      </c>
      <c r="P103" s="68" t="s">
        <v>398</v>
      </c>
      <c r="Q103" s="66">
        <v>1</v>
      </c>
      <c r="R103" s="67">
        <v>0.46</v>
      </c>
      <c r="S103" s="68" t="s">
        <v>397</v>
      </c>
      <c r="T103" s="66">
        <v>1</v>
      </c>
      <c r="U103" s="67">
        <v>0.3</v>
      </c>
      <c r="V103" s="37">
        <f t="shared" si="13"/>
        <v>6.5319726474217701E-2</v>
      </c>
      <c r="W103" s="58">
        <f t="shared" si="14"/>
        <v>0.17189401703741497</v>
      </c>
      <c r="X103" s="23">
        <f>ROUND(SUM(I103*H103,R103*Q103,U103*T103,)/SUM(H103,Q103,T103,),2)</f>
        <v>0.38</v>
      </c>
      <c r="Y103" s="38">
        <f t="shared" si="12"/>
        <v>1472.88</v>
      </c>
      <c r="Z103" s="6">
        <f t="shared" si="15"/>
        <v>0.33999999999999997</v>
      </c>
      <c r="AA103" s="20">
        <f t="shared" si="16"/>
        <v>0.38000000000000006</v>
      </c>
      <c r="AB103" s="134">
        <f t="shared" si="17"/>
        <v>6.5319726474217701E-2</v>
      </c>
      <c r="AC103" s="135">
        <f t="shared" si="18"/>
        <v>0.17189401703741497</v>
      </c>
      <c r="AD103" s="20"/>
      <c r="AE103" s="20"/>
    </row>
    <row r="104" spans="1:31" ht="111" customHeight="1" x14ac:dyDescent="0.3">
      <c r="A104" s="26">
        <v>100</v>
      </c>
      <c r="B104" s="32">
        <f>'APÊNDICE II-MEMÓRIA DE CÁLCULO'!B105</f>
        <v>12343</v>
      </c>
      <c r="C104" s="33">
        <f>'APÊNDICE II-MEMÓRIA DE CÁLCULO'!C105</f>
        <v>432464</v>
      </c>
      <c r="D104" s="34" t="str">
        <f>'APÊNDICE II-MEMÓRIA DE CÁLCULO'!D105</f>
        <v xml:space="preserve">Esfigmomanômetro - tamanho: adulto, tipo: analógico com estetoscópio, material: braçadeira em nylon, fecho em velcro, características adicionais: embalagem primária contendo identificação, número do lote, mês e ano de fabricação e validade, e registro em órgão competente. </v>
      </c>
      <c r="E104" s="33" t="str">
        <f>'APÊNDICE II-MEMÓRIA DE CÁLCULO'!E105</f>
        <v>UNIDADE</v>
      </c>
      <c r="F104" s="35">
        <f>'APÊNDICE II-MEMÓRIA DE CÁLCULO'!L105</f>
        <v>150</v>
      </c>
      <c r="G104" s="63" t="s">
        <v>809</v>
      </c>
      <c r="H104" s="64">
        <v>1</v>
      </c>
      <c r="I104" s="67">
        <v>60</v>
      </c>
      <c r="J104" s="73" t="s">
        <v>810</v>
      </c>
      <c r="K104" s="66">
        <v>3</v>
      </c>
      <c r="L104" s="67">
        <v>77.489999999999995</v>
      </c>
      <c r="M104" s="63" t="s">
        <v>576</v>
      </c>
      <c r="N104" s="66">
        <v>1</v>
      </c>
      <c r="O104" s="67">
        <v>59.7</v>
      </c>
      <c r="P104" s="68" t="s">
        <v>687</v>
      </c>
      <c r="Q104" s="66">
        <v>1</v>
      </c>
      <c r="R104" s="67">
        <v>65.33</v>
      </c>
      <c r="S104" s="68" t="s">
        <v>688</v>
      </c>
      <c r="T104" s="66">
        <v>1</v>
      </c>
      <c r="U104" s="67">
        <v>65.84</v>
      </c>
      <c r="V104" s="37">
        <f t="shared" si="13"/>
        <v>6.4443258763038953</v>
      </c>
      <c r="W104" s="58">
        <f t="shared" si="14"/>
        <v>9.81289724129598E-2</v>
      </c>
      <c r="X104" s="23">
        <f>ROUND(SUM(I104*H104,L104*K104,O104*N104,R104*Q104,U104*T104,)/SUM(H104,K104,N104,Q104,T104,),2)</f>
        <v>69.05</v>
      </c>
      <c r="Y104" s="38">
        <f t="shared" si="12"/>
        <v>10357.5</v>
      </c>
      <c r="Z104" s="6">
        <f t="shared" si="15"/>
        <v>62.664999999999999</v>
      </c>
      <c r="AA104" s="5">
        <f t="shared" si="16"/>
        <v>65.671999999999997</v>
      </c>
      <c r="AB104" s="8">
        <f t="shared" si="17"/>
        <v>6.4443258763038953</v>
      </c>
      <c r="AC104" s="7">
        <f t="shared" si="18"/>
        <v>9.81289724129598E-2</v>
      </c>
      <c r="AD104" s="5"/>
      <c r="AE104" s="5"/>
    </row>
    <row r="105" spans="1:31" ht="111" customHeight="1" x14ac:dyDescent="0.3">
      <c r="A105" s="26">
        <v>101</v>
      </c>
      <c r="B105" s="32">
        <f>'APÊNDICE II-MEMÓRIA DE CÁLCULO'!B106</f>
        <v>12344</v>
      </c>
      <c r="C105" s="33">
        <f>'APÊNDICE II-MEMÓRIA DE CÁLCULO'!C106</f>
        <v>432474</v>
      </c>
      <c r="D105" s="34" t="str">
        <f>'APÊNDICE II-MEMÓRIA DE CÁLCULO'!D106</f>
        <v xml:space="preserve">Esfigmomanômetro - tamanho: infantil, tipo: analógico com estetoscópio, material: braçadeira em nylon, fecho em velcro, características adicionais: embalagem primária contendo identificação, número do lote, mês e ano de fabricação e validade, e registro em órgão competente. </v>
      </c>
      <c r="E105" s="33" t="str">
        <f>'APÊNDICE II-MEMÓRIA DE CÁLCULO'!E106</f>
        <v>UNIDADE</v>
      </c>
      <c r="F105" s="35">
        <f>'APÊNDICE II-MEMÓRIA DE CÁLCULO'!L106</f>
        <v>12</v>
      </c>
      <c r="G105" s="63" t="s">
        <v>809</v>
      </c>
      <c r="H105" s="64">
        <v>1</v>
      </c>
      <c r="I105" s="67">
        <v>75.91</v>
      </c>
      <c r="J105" s="73" t="s">
        <v>810</v>
      </c>
      <c r="K105" s="66">
        <v>4</v>
      </c>
      <c r="L105" s="67">
        <v>68.2</v>
      </c>
      <c r="M105" s="63" t="s">
        <v>540</v>
      </c>
      <c r="N105" s="66">
        <v>1</v>
      </c>
      <c r="O105" s="67">
        <v>78.959999999999994</v>
      </c>
      <c r="P105" s="68" t="s">
        <v>690</v>
      </c>
      <c r="Q105" s="66">
        <v>1</v>
      </c>
      <c r="R105" s="67">
        <v>83.57</v>
      </c>
      <c r="S105" s="68" t="s">
        <v>387</v>
      </c>
      <c r="T105" s="66">
        <v>1</v>
      </c>
      <c r="U105" s="67">
        <v>78.400000000000006</v>
      </c>
      <c r="V105" s="37">
        <f t="shared" si="13"/>
        <v>5.0516191463727713</v>
      </c>
      <c r="W105" s="58">
        <f t="shared" si="14"/>
        <v>6.5598628017514676E-2</v>
      </c>
      <c r="X105" s="23">
        <f>ROUND(SUM(I105*H105,L105*K105,O105*N105,R105*Q105,U105*T105,)/SUM(H105,K105,N105,Q105,T105,),2)</f>
        <v>73.709999999999994</v>
      </c>
      <c r="Y105" s="38">
        <f t="shared" si="12"/>
        <v>884.52</v>
      </c>
      <c r="Z105" s="6">
        <f t="shared" si="15"/>
        <v>77.155000000000001</v>
      </c>
      <c r="AA105" s="5">
        <f t="shared" si="16"/>
        <v>77.00800000000001</v>
      </c>
      <c r="AB105" s="8">
        <f t="shared" si="17"/>
        <v>5.0516191463727713</v>
      </c>
      <c r="AC105" s="7">
        <f t="shared" si="18"/>
        <v>6.5598628017514676E-2</v>
      </c>
      <c r="AD105" s="5"/>
      <c r="AE105" s="5"/>
    </row>
    <row r="106" spans="1:31" ht="111" customHeight="1" x14ac:dyDescent="0.3">
      <c r="A106" s="26">
        <v>102</v>
      </c>
      <c r="B106" s="32">
        <f>'APÊNDICE II-MEMÓRIA DE CÁLCULO'!B107</f>
        <v>12345</v>
      </c>
      <c r="C106" s="33">
        <f>'APÊNDICE II-MEMÓRIA DE CÁLCULO'!C107</f>
        <v>432480</v>
      </c>
      <c r="D106" s="34" t="str">
        <f>'APÊNDICE II-MEMÓRIA DE CÁLCULO'!D107</f>
        <v xml:space="preserve">Esfigmomanômetro - tamanho: adulto obeso, tipo: analógico com estetoscópio, material: braçadeira em nylon, fecho em velcro, características adicionais: embalagem primária contendo identificação, número do lote, mês e ano de fabricação e validade, e registro em órgão competente. </v>
      </c>
      <c r="E106" s="33" t="str">
        <f>'APÊNDICE II-MEMÓRIA DE CÁLCULO'!E107</f>
        <v>UNIDADE</v>
      </c>
      <c r="F106" s="35">
        <f>'APÊNDICE II-MEMÓRIA DE CÁLCULO'!L107</f>
        <v>6</v>
      </c>
      <c r="G106" s="63" t="s">
        <v>809</v>
      </c>
      <c r="H106" s="64">
        <v>6</v>
      </c>
      <c r="I106" s="67">
        <v>97.44</v>
      </c>
      <c r="J106" s="73" t="s">
        <v>810</v>
      </c>
      <c r="K106" s="66">
        <v>2</v>
      </c>
      <c r="L106" s="67">
        <v>99.25</v>
      </c>
      <c r="M106" s="63" t="s">
        <v>514</v>
      </c>
      <c r="N106" s="66">
        <v>1</v>
      </c>
      <c r="O106" s="67">
        <v>89.9</v>
      </c>
      <c r="P106" s="68" t="s">
        <v>695</v>
      </c>
      <c r="Q106" s="66">
        <v>1</v>
      </c>
      <c r="R106" s="67">
        <v>91</v>
      </c>
      <c r="S106" s="68" t="s">
        <v>696</v>
      </c>
      <c r="T106" s="66">
        <v>1</v>
      </c>
      <c r="U106" s="67">
        <v>83.41</v>
      </c>
      <c r="V106" s="37">
        <f t="shared" si="13"/>
        <v>5.6772211512323532</v>
      </c>
      <c r="W106" s="58">
        <f t="shared" si="14"/>
        <v>6.1575066716186039E-2</v>
      </c>
      <c r="X106" s="23">
        <f>ROUND(SUM(I106*H106,L106*K106,O106*N106,R106*Q106,U106*T106,)/SUM(H106,K106,N106,Q106,T106,),2)</f>
        <v>95.22</v>
      </c>
      <c r="Y106" s="38">
        <f t="shared" si="12"/>
        <v>571.31999999999994</v>
      </c>
      <c r="Z106" s="6">
        <f t="shared" si="15"/>
        <v>90.45</v>
      </c>
      <c r="AA106" s="5">
        <f t="shared" si="16"/>
        <v>92.2</v>
      </c>
      <c r="AB106" s="8">
        <f t="shared" si="17"/>
        <v>5.6772211512323532</v>
      </c>
      <c r="AC106" s="7">
        <f t="shared" si="18"/>
        <v>6.1575066716186039E-2</v>
      </c>
      <c r="AD106" s="5"/>
      <c r="AE106" s="5"/>
    </row>
    <row r="107" spans="1:31" ht="111" customHeight="1" x14ac:dyDescent="0.3">
      <c r="A107" s="26">
        <v>103</v>
      </c>
      <c r="B107" s="32">
        <f>'APÊNDICE II-MEMÓRIA DE CÁLCULO'!B108</f>
        <v>12346</v>
      </c>
      <c r="C107" s="33">
        <f>'APÊNDICE II-MEMÓRIA DE CÁLCULO'!C108</f>
        <v>436952</v>
      </c>
      <c r="D107" s="34" t="str">
        <f>'APÊNDICE II-MEMÓRIA DE CÁLCULO'!D108</f>
        <v xml:space="preserve">Exercitador e incentivador respiratório - Modelo classic; Medidas do nível variam de 10 cmH2O até 40 cmH2O; Corpo: poliestireno cristal; Esperas, Anel e Mangueira: polietileno; Bocal: polipropileno; Anel de graduação de intensidade que varia de 0 a 3; O sistema de intensidade funciona também em graus intermediário (0,5, 1,5 etc.); Dimensões: Corpo: 13,5x6,9x14,2 cm (CxLxA); Mangueira: 26,6x1,6 cm (CxL); Bocal: 3,0x1,6 cm (CxL).
</v>
      </c>
      <c r="E107" s="33" t="str">
        <f>'APÊNDICE II-MEMÓRIA DE CÁLCULO'!E108</f>
        <v>UNIDADE</v>
      </c>
      <c r="F107" s="35">
        <f>'APÊNDICE II-MEMÓRIA DE CÁLCULO'!L108</f>
        <v>10</v>
      </c>
      <c r="G107" s="63" t="s">
        <v>809</v>
      </c>
      <c r="H107" s="64">
        <v>1</v>
      </c>
      <c r="I107" s="67">
        <v>28</v>
      </c>
      <c r="J107" s="73" t="s">
        <v>810</v>
      </c>
      <c r="K107" s="66">
        <v>2</v>
      </c>
      <c r="L107" s="67">
        <v>40.4</v>
      </c>
      <c r="M107" s="40" t="s">
        <v>31</v>
      </c>
      <c r="N107" s="55" t="s">
        <v>31</v>
      </c>
      <c r="O107" s="37" t="s">
        <v>31</v>
      </c>
      <c r="P107" s="68" t="s">
        <v>351</v>
      </c>
      <c r="Q107" s="66">
        <v>1</v>
      </c>
      <c r="R107" s="67">
        <v>29.9</v>
      </c>
      <c r="S107" s="68" t="s">
        <v>691</v>
      </c>
      <c r="T107" s="66">
        <v>1</v>
      </c>
      <c r="U107" s="67">
        <v>24.91</v>
      </c>
      <c r="V107" s="37">
        <f t="shared" si="13"/>
        <v>5.820267927681658</v>
      </c>
      <c r="W107" s="58">
        <f t="shared" si="14"/>
        <v>0.1889544007038928</v>
      </c>
      <c r="X107" s="23">
        <f>ROUND(SUM(I107*H107,L107*K107,R107*Q107,U107*T107,)/SUM(H107,K107,Q107,T107,),2)</f>
        <v>32.72</v>
      </c>
      <c r="Y107" s="38">
        <f t="shared" si="12"/>
        <v>327.2</v>
      </c>
      <c r="Z107" s="6">
        <f t="shared" si="15"/>
        <v>28</v>
      </c>
      <c r="AA107" s="5">
        <f t="shared" si="16"/>
        <v>30.802500000000002</v>
      </c>
      <c r="AB107" s="8">
        <f t="shared" si="17"/>
        <v>5.820267927681658</v>
      </c>
      <c r="AC107" s="7">
        <f t="shared" si="18"/>
        <v>0.1889544007038928</v>
      </c>
      <c r="AD107" s="5"/>
      <c r="AE107" s="5"/>
    </row>
    <row r="108" spans="1:31" ht="111" customHeight="1" x14ac:dyDescent="0.3">
      <c r="A108" s="26">
        <v>104</v>
      </c>
      <c r="B108" s="32">
        <f>'APÊNDICE II-MEMÓRIA DE CÁLCULO'!B109</f>
        <v>12347</v>
      </c>
      <c r="C108" s="33">
        <f>'APÊNDICE II-MEMÓRIA DE CÁLCULO'!C109</f>
        <v>461244</v>
      </c>
      <c r="D108" s="34" t="str">
        <f>'APÊNDICE II-MEMÓRIA DE CÁLCULO'!D109</f>
        <v>Eletrodo - uso médico, aplicação: para monitorização cardíaca ECG, tamanho: neonatal, esterilidade: uso único, tipo: adesivo, características adicionais: pré-alambrado, utiliza hidrogel adesivo e condutor que fornece adesão firme, minimizando a irritação na pele delicada dos recém-nascidos.</v>
      </c>
      <c r="E108" s="33" t="str">
        <f>'APÊNDICE II-MEMÓRIA DE CÁLCULO'!E109</f>
        <v>UNIDADE</v>
      </c>
      <c r="F108" s="35">
        <f>'APÊNDICE II-MEMÓRIA DE CÁLCULO'!L109</f>
        <v>50</v>
      </c>
      <c r="G108" s="63" t="s">
        <v>809</v>
      </c>
      <c r="H108" s="64">
        <v>3</v>
      </c>
      <c r="I108" s="67">
        <f>13.71/50</f>
        <v>0.2742</v>
      </c>
      <c r="J108" s="73" t="s">
        <v>810</v>
      </c>
      <c r="K108" s="66">
        <v>5</v>
      </c>
      <c r="L108" s="67">
        <v>0.31</v>
      </c>
      <c r="M108" s="63" t="s">
        <v>577</v>
      </c>
      <c r="N108" s="66">
        <v>1</v>
      </c>
      <c r="O108" s="67">
        <v>0.38</v>
      </c>
      <c r="P108" s="68" t="s">
        <v>395</v>
      </c>
      <c r="Q108" s="66">
        <v>1</v>
      </c>
      <c r="R108" s="67">
        <f>22.5/50</f>
        <v>0.45</v>
      </c>
      <c r="S108" s="68" t="s">
        <v>692</v>
      </c>
      <c r="T108" s="66">
        <v>1</v>
      </c>
      <c r="U108" s="67">
        <f>23.99/50</f>
        <v>0.47979999999999995</v>
      </c>
      <c r="V108" s="37">
        <f t="shared" si="13"/>
        <v>7.8672078909864704E-2</v>
      </c>
      <c r="W108" s="58">
        <f t="shared" si="14"/>
        <v>0.20768764231748865</v>
      </c>
      <c r="X108" s="23">
        <f t="shared" ref="X108:X123" si="20">ROUND(SUM(I108*H108,L108*K108,O108*N108,R108*Q108,U108*T108,)/SUM(H108,K108,N108,Q108,T108,),2)</f>
        <v>0.33</v>
      </c>
      <c r="Y108" s="38">
        <f t="shared" si="12"/>
        <v>16.5</v>
      </c>
      <c r="Z108" s="6">
        <f t="shared" si="15"/>
        <v>0.34499999999999997</v>
      </c>
      <c r="AA108" s="5">
        <f t="shared" si="16"/>
        <v>0.37880000000000003</v>
      </c>
      <c r="AB108" s="8">
        <f t="shared" si="17"/>
        <v>7.8672078909864704E-2</v>
      </c>
      <c r="AC108" s="7">
        <f t="shared" si="18"/>
        <v>0.20768764231748865</v>
      </c>
      <c r="AD108" s="5"/>
      <c r="AE108" s="5"/>
    </row>
    <row r="109" spans="1:31" ht="111" customHeight="1" x14ac:dyDescent="0.3">
      <c r="A109" s="26">
        <v>105</v>
      </c>
      <c r="B109" s="32">
        <f>'APÊNDICE II-MEMÓRIA DE CÁLCULO'!B110</f>
        <v>12348</v>
      </c>
      <c r="C109" s="33" t="str">
        <f>'APÊNDICE II-MEMÓRIA DE CÁLCULO'!C110</f>
        <v>-</v>
      </c>
      <c r="D109" s="34" t="str">
        <f>'APÊNDICE II-MEMÓRIA DE CÁLCULO'!D110</f>
        <v>Equipo - para bomba de infusão, tipo conector: universal, esterilidade: estéril, não tóxico, uso único, material: pvc, características adicionais: equipo para administração de soluções venosas com câmara flexível e filtro de partículas.</v>
      </c>
      <c r="E109" s="33" t="str">
        <f>'APÊNDICE II-MEMÓRIA DE CÁLCULO'!E110</f>
        <v>UNIDADE</v>
      </c>
      <c r="F109" s="35">
        <f>'APÊNDICE II-MEMÓRIA DE CÁLCULO'!L110</f>
        <v>50</v>
      </c>
      <c r="G109" s="63" t="s">
        <v>809</v>
      </c>
      <c r="H109" s="64">
        <v>3</v>
      </c>
      <c r="I109" s="67">
        <v>22.12</v>
      </c>
      <c r="J109" s="73" t="s">
        <v>810</v>
      </c>
      <c r="K109" s="66">
        <v>4</v>
      </c>
      <c r="L109" s="67">
        <v>14.54</v>
      </c>
      <c r="M109" s="63" t="s">
        <v>450</v>
      </c>
      <c r="N109" s="66">
        <v>1</v>
      </c>
      <c r="O109" s="67">
        <v>19.07</v>
      </c>
      <c r="P109" s="68" t="s">
        <v>693</v>
      </c>
      <c r="Q109" s="66">
        <v>1</v>
      </c>
      <c r="R109" s="67">
        <v>16.989999999999998</v>
      </c>
      <c r="S109" s="68" t="s">
        <v>694</v>
      </c>
      <c r="T109" s="66">
        <v>1</v>
      </c>
      <c r="U109" s="67">
        <v>15.27</v>
      </c>
      <c r="V109" s="37">
        <f t="shared" si="13"/>
        <v>2.7479403195848633</v>
      </c>
      <c r="W109" s="58">
        <f t="shared" si="14"/>
        <v>0.15615071710335629</v>
      </c>
      <c r="X109" s="23">
        <f t="shared" si="20"/>
        <v>17.59</v>
      </c>
      <c r="Y109" s="38">
        <f t="shared" si="12"/>
        <v>879.5</v>
      </c>
      <c r="Z109" s="6">
        <f t="shared" si="15"/>
        <v>16.13</v>
      </c>
      <c r="AA109" s="5">
        <f t="shared" si="16"/>
        <v>17.597999999999995</v>
      </c>
      <c r="AB109" s="8">
        <f t="shared" si="17"/>
        <v>2.7479403195848633</v>
      </c>
      <c r="AC109" s="7">
        <f t="shared" si="18"/>
        <v>0.15615071710335629</v>
      </c>
      <c r="AD109" s="5"/>
      <c r="AE109" s="5"/>
    </row>
    <row r="110" spans="1:31" ht="184.5" customHeight="1" x14ac:dyDescent="0.3">
      <c r="A110" s="26">
        <v>106</v>
      </c>
      <c r="B110" s="32">
        <f>'APÊNDICE II-MEMÓRIA DE CÁLCULO'!B111</f>
        <v>16333</v>
      </c>
      <c r="C110" s="33">
        <f>'APÊNDICE II-MEMÓRIA DE CÁLCULO'!C111</f>
        <v>425353</v>
      </c>
      <c r="D110" s="34" t="str">
        <f>'APÊNDICE II-MEMÓRIA DE CÁLCULO'!D111</f>
        <v>Fralda descartável infantil - TAMANHO P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3,5 a 5 kg. Referência: Pampers, Personalidade Baby, Huggies, Pompom, Mônica, Cremer ou similares.</v>
      </c>
      <c r="E110" s="33" t="str">
        <f>'APÊNDICE II-MEMÓRIA DE CÁLCULO'!E111</f>
        <v>UNIDADE</v>
      </c>
      <c r="F110" s="35">
        <f>'APÊNDICE II-MEMÓRIA DE CÁLCULO'!L111</f>
        <v>1000</v>
      </c>
      <c r="G110" s="63" t="s">
        <v>809</v>
      </c>
      <c r="H110" s="64">
        <v>1</v>
      </c>
      <c r="I110" s="67">
        <v>0.37</v>
      </c>
      <c r="J110" s="73" t="s">
        <v>810</v>
      </c>
      <c r="K110" s="66">
        <v>4</v>
      </c>
      <c r="L110" s="67">
        <v>0.43</v>
      </c>
      <c r="M110" s="63" t="s">
        <v>548</v>
      </c>
      <c r="N110" s="66">
        <v>1</v>
      </c>
      <c r="O110" s="67">
        <v>0.38</v>
      </c>
      <c r="P110" s="68" t="s">
        <v>359</v>
      </c>
      <c r="Q110" s="66">
        <v>1</v>
      </c>
      <c r="R110" s="67">
        <f>39.9/62</f>
        <v>0.6435483870967742</v>
      </c>
      <c r="S110" s="68" t="s">
        <v>683</v>
      </c>
      <c r="T110" s="66">
        <v>1</v>
      </c>
      <c r="U110" s="67">
        <f>14.3/30</f>
        <v>0.47666666666666668</v>
      </c>
      <c r="V110" s="37">
        <f t="shared" si="13"/>
        <v>9.9365767680807224E-2</v>
      </c>
      <c r="W110" s="58">
        <f t="shared" si="14"/>
        <v>0.21599234279906207</v>
      </c>
      <c r="X110" s="23">
        <f t="shared" si="20"/>
        <v>0.45</v>
      </c>
      <c r="Y110" s="38">
        <f t="shared" si="12"/>
        <v>450</v>
      </c>
      <c r="Z110" s="6">
        <f t="shared" si="15"/>
        <v>0.40500000000000003</v>
      </c>
      <c r="AA110" s="5">
        <f t="shared" si="16"/>
        <v>0.46004301075268816</v>
      </c>
      <c r="AB110" s="8">
        <f t="shared" si="17"/>
        <v>9.9365767680807224E-2</v>
      </c>
      <c r="AC110" s="7">
        <f t="shared" si="18"/>
        <v>0.21599234279906207</v>
      </c>
      <c r="AD110" s="5"/>
      <c r="AE110" s="5"/>
    </row>
    <row r="111" spans="1:31" ht="184.5" customHeight="1" x14ac:dyDescent="0.3">
      <c r="A111" s="26">
        <v>107</v>
      </c>
      <c r="B111" s="32">
        <f>'APÊNDICE II-MEMÓRIA DE CÁLCULO'!B112</f>
        <v>16334</v>
      </c>
      <c r="C111" s="33">
        <f>'APÊNDICE II-MEMÓRIA DE CÁLCULO'!C112</f>
        <v>425354</v>
      </c>
      <c r="D111" s="34" t="str">
        <f>'APÊNDICE II-MEMÓRIA DE CÁLCULO'!D112</f>
        <v>Fralda descartável infantil - TAMANHO M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5 a 10 kg. Referência: Pampers, Personalidade Baby, Huggies, Pompom, Mônica, Cremer ou similares.</v>
      </c>
      <c r="E111" s="33" t="str">
        <f>'APÊNDICE II-MEMÓRIA DE CÁLCULO'!E112</f>
        <v>UNIDADE</v>
      </c>
      <c r="F111" s="35">
        <f>'APÊNDICE II-MEMÓRIA DE CÁLCULO'!M112</f>
        <v>16800</v>
      </c>
      <c r="G111" s="63" t="s">
        <v>809</v>
      </c>
      <c r="H111" s="64">
        <v>1</v>
      </c>
      <c r="I111" s="67">
        <v>0.35</v>
      </c>
      <c r="J111" s="73" t="s">
        <v>810</v>
      </c>
      <c r="K111" s="66">
        <v>4</v>
      </c>
      <c r="L111" s="67">
        <v>0.6</v>
      </c>
      <c r="M111" s="63" t="s">
        <v>549</v>
      </c>
      <c r="N111" s="66">
        <v>1</v>
      </c>
      <c r="O111" s="67">
        <v>0.5</v>
      </c>
      <c r="P111" s="68" t="s">
        <v>697</v>
      </c>
      <c r="Q111" s="66">
        <v>1</v>
      </c>
      <c r="R111" s="67">
        <f>25.5/42</f>
        <v>0.6071428571428571</v>
      </c>
      <c r="S111" s="68" t="s">
        <v>344</v>
      </c>
      <c r="T111" s="66">
        <v>1</v>
      </c>
      <c r="U111" s="67">
        <f>37.9/56</f>
        <v>0.67678571428571421</v>
      </c>
      <c r="V111" s="37">
        <f t="shared" si="13"/>
        <v>0.11339159166897897</v>
      </c>
      <c r="W111" s="58">
        <f t="shared" si="14"/>
        <v>0.20737848247755791</v>
      </c>
      <c r="X111" s="23">
        <f t="shared" si="20"/>
        <v>0.56999999999999995</v>
      </c>
      <c r="Y111" s="38">
        <f t="shared" si="12"/>
        <v>9576</v>
      </c>
      <c r="Z111" s="6">
        <f t="shared" si="15"/>
        <v>0.55000000000000004</v>
      </c>
      <c r="AA111" s="5">
        <f t="shared" si="16"/>
        <v>0.54678571428571421</v>
      </c>
      <c r="AB111" s="8">
        <f t="shared" si="17"/>
        <v>0.11339159166897897</v>
      </c>
      <c r="AC111" s="7">
        <f t="shared" si="18"/>
        <v>0.20737848247755791</v>
      </c>
      <c r="AD111" s="5"/>
      <c r="AE111" s="5"/>
    </row>
    <row r="112" spans="1:31" ht="184.5" customHeight="1" x14ac:dyDescent="0.3">
      <c r="A112" s="26">
        <v>108</v>
      </c>
      <c r="B112" s="32">
        <f>'APÊNDICE II-MEMÓRIA DE CÁLCULO'!B113</f>
        <v>16335</v>
      </c>
      <c r="C112" s="33">
        <f>'APÊNDICE II-MEMÓRIA DE CÁLCULO'!C113</f>
        <v>425355</v>
      </c>
      <c r="D112" s="34" t="str">
        <f>'APÊNDICE II-MEMÓRIA DE CÁLCULO'!D113</f>
        <v>Fralda descartável infantil - TAMANHO G de uso infantil, antialérgica, fita ajustável, polpa de celulose, gel/flocos polímero superabsorventes, acabamento com no mínimo 3 fios elastano, fitas adesivas multiajustáveis reposicionáveis que permite abrir e fechar a fralda sem rasgar, formato anatômico forro ultra macio, faixa frontal, cobertura interna de falso tecido micro perfurado, aloe vera, vitamina e componentes atóxicos não propensos a causar irritação em contato com a pele camada externa de polietileno e com barreira lateral antivazamento. Elaboradas a partir de material hidrofócico, resistente à passagem de água até 12kPa, conforme norma ABNT – NBR – 14025 – Determinação resistência à Pressão d’água. Fralda para peso do bebê de 10 a 13 kg. Referência: Pampers, Personalidade Baby, Huggies, Pompom, Mônica, Cremer ou similares.</v>
      </c>
      <c r="E112" s="33" t="str">
        <f>'APÊNDICE II-MEMÓRIA DE CÁLCULO'!E113</f>
        <v>UNIDADE</v>
      </c>
      <c r="F112" s="35">
        <f>'APÊNDICE II-MEMÓRIA DE CÁLCULO'!M113</f>
        <v>25200</v>
      </c>
      <c r="G112" s="63" t="s">
        <v>809</v>
      </c>
      <c r="H112" s="64">
        <v>12</v>
      </c>
      <c r="I112" s="67">
        <v>0.63</v>
      </c>
      <c r="J112" s="73" t="s">
        <v>810</v>
      </c>
      <c r="K112" s="66">
        <v>1</v>
      </c>
      <c r="L112" s="67">
        <v>0.68</v>
      </c>
      <c r="M112" s="63" t="s">
        <v>550</v>
      </c>
      <c r="N112" s="66">
        <v>1</v>
      </c>
      <c r="O112" s="67">
        <v>0.51</v>
      </c>
      <c r="P112" s="68" t="s">
        <v>698</v>
      </c>
      <c r="Q112" s="66">
        <v>1</v>
      </c>
      <c r="R112" s="67">
        <f>49.99/60</f>
        <v>0.83316666666666672</v>
      </c>
      <c r="S112" s="68" t="s">
        <v>699</v>
      </c>
      <c r="T112" s="66">
        <v>1</v>
      </c>
      <c r="U112" s="67">
        <f>17.99/24</f>
        <v>0.74958333333333327</v>
      </c>
      <c r="V112" s="37">
        <f t="shared" si="13"/>
        <v>0.1092706324275243</v>
      </c>
      <c r="W112" s="58">
        <f t="shared" si="14"/>
        <v>0.16056223999342342</v>
      </c>
      <c r="X112" s="23">
        <f t="shared" si="20"/>
        <v>0.65</v>
      </c>
      <c r="Y112" s="38">
        <f t="shared" si="12"/>
        <v>16380</v>
      </c>
      <c r="Z112" s="6">
        <f t="shared" si="15"/>
        <v>0.65500000000000003</v>
      </c>
      <c r="AA112" s="5">
        <f t="shared" si="16"/>
        <v>0.68054999999999999</v>
      </c>
      <c r="AB112" s="8">
        <f t="shared" si="17"/>
        <v>0.1092706324275243</v>
      </c>
      <c r="AC112" s="7">
        <f t="shared" si="18"/>
        <v>0.16056223999342342</v>
      </c>
      <c r="AD112" s="5"/>
      <c r="AE112" s="5"/>
    </row>
    <row r="113" spans="1:31" ht="184.5" customHeight="1" x14ac:dyDescent="0.3">
      <c r="A113" s="26">
        <v>109</v>
      </c>
      <c r="B113" s="32">
        <f>'APÊNDICE II-MEMÓRIA DE CÁLCULO'!B114</f>
        <v>12352</v>
      </c>
      <c r="C113" s="33" t="str">
        <f>'APÊNDICE II-MEMÓRIA DE CÁLCULO'!C114</f>
        <v>-</v>
      </c>
      <c r="D113" s="34" t="str">
        <f>'APÊNDICE II-MEMÓRIA DE CÁLCULO'!D114</f>
        <v>Fralda descartável - tipo: infantil,  tamanho: XXG, formato: anatômico, características: apresenta tripla proteção com barreiras super impermeáveis, gel super absorvente, camada de proteção ultra seca. Sua composição contém filme de polietileno, polpa de celulose, polímero superabsorvente, tecido de polipropileno, não tecido de fibras bicomponentes e fibras polyester, aloe vera, vitamina E, adesivo termoplástico, fios de elástico, fitas adesivas. Componentes atóxicos não propensos a causar irritação em contato com a pele, produto de referência: fraldas descartáveis Huggies turma da Mônica tripla proteção mega XXG.</v>
      </c>
      <c r="E113" s="33" t="str">
        <f>'APÊNDICE II-MEMÓRIA DE CÁLCULO'!E114</f>
        <v>UNIDADE</v>
      </c>
      <c r="F113" s="35">
        <f>'APÊNDICE II-MEMÓRIA DE CÁLCULO'!M114</f>
        <v>36000</v>
      </c>
      <c r="G113" s="63" t="s">
        <v>809</v>
      </c>
      <c r="H113" s="64">
        <v>11</v>
      </c>
      <c r="I113" s="67">
        <v>1.47</v>
      </c>
      <c r="J113" s="73" t="s">
        <v>810</v>
      </c>
      <c r="K113" s="66">
        <v>1</v>
      </c>
      <c r="L113" s="67">
        <v>1.23</v>
      </c>
      <c r="M113" s="63" t="s">
        <v>551</v>
      </c>
      <c r="N113" s="66">
        <v>1</v>
      </c>
      <c r="O113" s="67">
        <v>0.69</v>
      </c>
      <c r="P113" s="68" t="s">
        <v>700</v>
      </c>
      <c r="Q113" s="66">
        <v>1</v>
      </c>
      <c r="R113" s="67">
        <f>34.89/30</f>
        <v>1.163</v>
      </c>
      <c r="S113" s="68" t="s">
        <v>701</v>
      </c>
      <c r="T113" s="66">
        <v>1</v>
      </c>
      <c r="U113" s="67">
        <f>19.99/12</f>
        <v>1.6658333333333333</v>
      </c>
      <c r="V113" s="37">
        <f t="shared" si="13"/>
        <v>0.32945169263152507</v>
      </c>
      <c r="W113" s="58">
        <f t="shared" si="14"/>
        <v>0.26488223350965484</v>
      </c>
      <c r="X113" s="23">
        <f t="shared" si="20"/>
        <v>1.39</v>
      </c>
      <c r="Y113" s="38">
        <f t="shared" si="12"/>
        <v>50040</v>
      </c>
      <c r="Z113" s="6">
        <f t="shared" si="15"/>
        <v>1.1964999999999999</v>
      </c>
      <c r="AA113" s="5">
        <f t="shared" si="16"/>
        <v>1.2437666666666669</v>
      </c>
      <c r="AB113" s="8">
        <f t="shared" si="17"/>
        <v>0.32945169263152507</v>
      </c>
      <c r="AC113" s="7">
        <f t="shared" si="18"/>
        <v>0.26488223350965484</v>
      </c>
      <c r="AD113" s="5"/>
      <c r="AE113" s="5"/>
    </row>
    <row r="114" spans="1:31" ht="184.5" customHeight="1" x14ac:dyDescent="0.3">
      <c r="A114" s="26">
        <v>110</v>
      </c>
      <c r="B114" s="32">
        <f>'APÊNDICE II-MEMÓRIA DE CÁLCULO'!B115</f>
        <v>12353</v>
      </c>
      <c r="C114" s="33">
        <f>'APÊNDICE II-MEMÓRIA DE CÁLCULO'!C115</f>
        <v>279887</v>
      </c>
      <c r="D114" s="34" t="str">
        <f>'APÊNDICE II-MEMÓRIA DE CÁLCULO'!D115</f>
        <v>Frasco - tipo: almotolia pinceta, capacidade: 250 ml, material: polietileno (plástico), tipo do bico: bico reto longo com protetor,  características adicionais: recipiente com tampa enroscada, sem mangueira interna, cor: marrom, flexível, contendo orifício central, graduado a cada 50 ml, resistente a desinfecções. Embalagem contendo externamente dados de identificação, procedência e registro em órgão competente.</v>
      </c>
      <c r="E114" s="33" t="str">
        <f>'APÊNDICE II-MEMÓRIA DE CÁLCULO'!E115</f>
        <v>UNIDADE</v>
      </c>
      <c r="F114" s="35">
        <f>'APÊNDICE II-MEMÓRIA DE CÁLCULO'!L115</f>
        <v>48</v>
      </c>
      <c r="G114" s="63" t="s">
        <v>809</v>
      </c>
      <c r="H114" s="64">
        <v>1</v>
      </c>
      <c r="I114" s="67">
        <v>6.5</v>
      </c>
      <c r="J114" s="73" t="s">
        <v>810</v>
      </c>
      <c r="K114" s="66">
        <v>5</v>
      </c>
      <c r="L114" s="67">
        <v>4.74</v>
      </c>
      <c r="M114" s="63" t="s">
        <v>578</v>
      </c>
      <c r="N114" s="66">
        <v>1</v>
      </c>
      <c r="O114" s="67">
        <v>3.62</v>
      </c>
      <c r="P114" s="68" t="s">
        <v>702</v>
      </c>
      <c r="Q114" s="66">
        <v>1</v>
      </c>
      <c r="R114" s="67">
        <v>4.5</v>
      </c>
      <c r="S114" s="68" t="s">
        <v>351</v>
      </c>
      <c r="T114" s="66">
        <v>1</v>
      </c>
      <c r="U114" s="67">
        <v>4.49</v>
      </c>
      <c r="V114" s="37">
        <f t="shared" si="13"/>
        <v>0.9452618684787798</v>
      </c>
      <c r="W114" s="58">
        <f t="shared" si="14"/>
        <v>0.19816810659932488</v>
      </c>
      <c r="X114" s="23">
        <f t="shared" si="20"/>
        <v>4.76</v>
      </c>
      <c r="Y114" s="38">
        <f t="shared" si="12"/>
        <v>228.48</v>
      </c>
      <c r="Z114" s="6">
        <f t="shared" si="15"/>
        <v>4.4950000000000001</v>
      </c>
      <c r="AA114" s="5">
        <f t="shared" si="16"/>
        <v>4.7700000000000005</v>
      </c>
      <c r="AB114" s="8">
        <f t="shared" si="17"/>
        <v>0.9452618684787798</v>
      </c>
      <c r="AC114" s="7">
        <f t="shared" si="18"/>
        <v>0.19816810659932488</v>
      </c>
      <c r="AD114" s="5"/>
      <c r="AE114" s="5"/>
    </row>
    <row r="115" spans="1:31" ht="184.5" customHeight="1" x14ac:dyDescent="0.3">
      <c r="A115" s="26">
        <v>111</v>
      </c>
      <c r="B115" s="32">
        <f>'APÊNDICE II-MEMÓRIA DE CÁLCULO'!B116</f>
        <v>12354</v>
      </c>
      <c r="C115" s="33">
        <f>'APÊNDICE II-MEMÓRIA DE CÁLCULO'!C116</f>
        <v>427338</v>
      </c>
      <c r="D115" s="34" t="str">
        <f>'APÊNDICE II-MEMÓRIA DE CÁLCULO'!D116</f>
        <v>Fralda descartável - tipo: geriátrica, tamanho: P,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5" s="33" t="str">
        <f>'APÊNDICE II-MEMÓRIA DE CÁLCULO'!E116</f>
        <v>UNIDADE</v>
      </c>
      <c r="F115" s="35">
        <f>'APÊNDICE II-MEMÓRIA DE CÁLCULO'!L116</f>
        <v>16100</v>
      </c>
      <c r="G115" s="63" t="s">
        <v>809</v>
      </c>
      <c r="H115" s="64">
        <v>4</v>
      </c>
      <c r="I115" s="67">
        <v>1.56</v>
      </c>
      <c r="J115" s="73" t="s">
        <v>810</v>
      </c>
      <c r="K115" s="66">
        <v>1</v>
      </c>
      <c r="L115" s="67">
        <v>1.32</v>
      </c>
      <c r="M115" s="63" t="s">
        <v>515</v>
      </c>
      <c r="N115" s="66">
        <v>1</v>
      </c>
      <c r="O115" s="67">
        <v>1.49</v>
      </c>
      <c r="P115" s="68" t="s">
        <v>354</v>
      </c>
      <c r="Q115" s="66">
        <v>1</v>
      </c>
      <c r="R115" s="67">
        <f>16.45/8</f>
        <v>2.0562499999999999</v>
      </c>
      <c r="S115" s="68" t="s">
        <v>683</v>
      </c>
      <c r="T115" s="66">
        <v>1</v>
      </c>
      <c r="U115" s="67">
        <f>10.4/8</f>
        <v>1.3</v>
      </c>
      <c r="V115" s="37">
        <f t="shared" si="13"/>
        <v>0.27396213241979328</v>
      </c>
      <c r="W115" s="58">
        <f t="shared" si="14"/>
        <v>0.17729308035579572</v>
      </c>
      <c r="X115" s="23">
        <f t="shared" si="20"/>
        <v>1.55</v>
      </c>
      <c r="Y115" s="38">
        <f t="shared" si="12"/>
        <v>24955</v>
      </c>
      <c r="Z115" s="6">
        <f t="shared" si="15"/>
        <v>1.405</v>
      </c>
      <c r="AA115" s="5">
        <f t="shared" si="16"/>
        <v>1.5452499999999998</v>
      </c>
      <c r="AB115" s="8">
        <f t="shared" si="17"/>
        <v>0.27396213241979328</v>
      </c>
      <c r="AC115" s="7">
        <f t="shared" si="18"/>
        <v>0.17729308035579572</v>
      </c>
      <c r="AD115" s="5"/>
      <c r="AE115" s="5"/>
    </row>
    <row r="116" spans="1:31" ht="111" customHeight="1" x14ac:dyDescent="0.3">
      <c r="A116" s="26">
        <v>112</v>
      </c>
      <c r="B116" s="32">
        <f>'APÊNDICE II-MEMÓRIA DE CÁLCULO'!B117</f>
        <v>12356</v>
      </c>
      <c r="C116" s="33">
        <f>'APÊNDICE II-MEMÓRIA DE CÁLCULO'!C117</f>
        <v>358131</v>
      </c>
      <c r="D116" s="34" t="str">
        <f>'APÊNDICE II-MEMÓRIA DE CÁLCULO'!D117</f>
        <v>Fralda descartável - tipo: geriátrica, tamanho: M ,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6" s="33" t="str">
        <f>'APÊNDICE II-MEMÓRIA DE CÁLCULO'!E117</f>
        <v>UNIDADE</v>
      </c>
      <c r="F116" s="35">
        <f>'APÊNDICE II-MEMÓRIA DE CÁLCULO'!L117</f>
        <v>43100</v>
      </c>
      <c r="G116" s="63" t="s">
        <v>809</v>
      </c>
      <c r="H116" s="64">
        <v>14</v>
      </c>
      <c r="I116" s="67">
        <v>1.32</v>
      </c>
      <c r="J116" s="73" t="s">
        <v>810</v>
      </c>
      <c r="K116" s="66">
        <v>3</v>
      </c>
      <c r="L116" s="67">
        <v>1.21</v>
      </c>
      <c r="M116" s="63" t="s">
        <v>579</v>
      </c>
      <c r="N116" s="66">
        <v>1</v>
      </c>
      <c r="O116" s="67">
        <v>1.18</v>
      </c>
      <c r="P116" s="68" t="s">
        <v>683</v>
      </c>
      <c r="Q116" s="66">
        <v>1</v>
      </c>
      <c r="R116" s="67">
        <f>10.1/8</f>
        <v>1.2625</v>
      </c>
      <c r="S116" s="68" t="s">
        <v>703</v>
      </c>
      <c r="T116" s="66">
        <v>1</v>
      </c>
      <c r="U116" s="67">
        <f>13.51/8</f>
        <v>1.68875</v>
      </c>
      <c r="V116" s="37">
        <f t="shared" si="13"/>
        <v>0.18451693689198301</v>
      </c>
      <c r="W116" s="58">
        <f t="shared" si="14"/>
        <v>0.13850023410920098</v>
      </c>
      <c r="X116" s="23">
        <f t="shared" si="20"/>
        <v>1.31</v>
      </c>
      <c r="Y116" s="38">
        <f t="shared" si="12"/>
        <v>56461</v>
      </c>
      <c r="Z116" s="6">
        <f t="shared" si="15"/>
        <v>1.2362500000000001</v>
      </c>
      <c r="AA116" s="5">
        <f t="shared" si="16"/>
        <v>1.3322499999999999</v>
      </c>
      <c r="AB116" s="8">
        <f t="shared" si="17"/>
        <v>0.18451693689198301</v>
      </c>
      <c r="AC116" s="7">
        <f t="shared" si="18"/>
        <v>0.13850023410920098</v>
      </c>
      <c r="AD116" s="5"/>
      <c r="AE116" s="5"/>
    </row>
    <row r="117" spans="1:31" ht="111" customHeight="1" x14ac:dyDescent="0.3">
      <c r="A117" s="26">
        <v>113</v>
      </c>
      <c r="B117" s="32">
        <f>'APÊNDICE II-MEMÓRIA DE CÁLCULO'!B118</f>
        <v>12357</v>
      </c>
      <c r="C117" s="33">
        <f>'APÊNDICE II-MEMÓRIA DE CÁLCULO'!C118</f>
        <v>358132</v>
      </c>
      <c r="D117" s="34" t="str">
        <f>'APÊNDICE II-MEMÓRIA DE CÁLCULO'!D118</f>
        <v>Fralda descartável - tipo: geriátrica, tamanho: 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7" s="33" t="str">
        <f>'APÊNDICE II-MEMÓRIA DE CÁLCULO'!E118</f>
        <v>UNIDADE</v>
      </c>
      <c r="F117" s="35">
        <f>'APÊNDICE II-MEMÓRIA DE CÁLCULO'!L118</f>
        <v>130538</v>
      </c>
      <c r="G117" s="63" t="s">
        <v>809</v>
      </c>
      <c r="H117" s="64">
        <v>15</v>
      </c>
      <c r="I117" s="67">
        <v>1.33</v>
      </c>
      <c r="J117" s="73" t="s">
        <v>810</v>
      </c>
      <c r="K117" s="66">
        <v>7</v>
      </c>
      <c r="L117" s="67">
        <v>1.26</v>
      </c>
      <c r="M117" s="63" t="s">
        <v>625</v>
      </c>
      <c r="N117" s="66">
        <v>1</v>
      </c>
      <c r="O117" s="67">
        <v>1.28</v>
      </c>
      <c r="P117" s="68" t="s">
        <v>683</v>
      </c>
      <c r="Q117" s="66">
        <v>1</v>
      </c>
      <c r="R117" s="67">
        <f>56/50</f>
        <v>1.1200000000000001</v>
      </c>
      <c r="S117" s="68" t="s">
        <v>704</v>
      </c>
      <c r="T117" s="66">
        <v>1</v>
      </c>
      <c r="U117" s="67">
        <f>86.2/50</f>
        <v>1.724</v>
      </c>
      <c r="V117" s="37">
        <f t="shared" si="13"/>
        <v>0.20293683746427113</v>
      </c>
      <c r="W117" s="58">
        <f t="shared" si="14"/>
        <v>0.15112960788223945</v>
      </c>
      <c r="X117" s="23">
        <f t="shared" si="20"/>
        <v>1.32</v>
      </c>
      <c r="Y117" s="38">
        <f t="shared" si="12"/>
        <v>172310.16</v>
      </c>
      <c r="Z117" s="6">
        <f t="shared" si="15"/>
        <v>1.27</v>
      </c>
      <c r="AA117" s="5">
        <f t="shared" si="16"/>
        <v>1.3428</v>
      </c>
      <c r="AB117" s="8">
        <f t="shared" si="17"/>
        <v>0.20293683746427113</v>
      </c>
      <c r="AC117" s="7">
        <f t="shared" si="18"/>
        <v>0.15112960788223945</v>
      </c>
      <c r="AD117" s="5"/>
      <c r="AE117" s="5"/>
    </row>
    <row r="118" spans="1:31" ht="111" customHeight="1" x14ac:dyDescent="0.3">
      <c r="A118" s="26">
        <v>114</v>
      </c>
      <c r="B118" s="32">
        <f>'APÊNDICE II-MEMÓRIA DE CÁLCULO'!B119</f>
        <v>12358</v>
      </c>
      <c r="C118" s="33">
        <f>'APÊNDICE II-MEMÓRIA DE CÁLCULO'!C119</f>
        <v>380597</v>
      </c>
      <c r="D118" s="34" t="str">
        <f>'APÊNDICE II-MEMÓRIA DE CÁLCULO'!D119</f>
        <v>Fralda descartável - tipo: geriátrica, tamanho: XG, características adicionais: com gel absorvente: melhor perfomance de absorção, contendo canais de distribuição para rápida distribuição da urina, menor tempo de contato com a pele e redução de retorno do líquido, indicador de umidade. Altas barreiras: segurança contra vazamentos laterais. Design do núcleo com formato anatômico. Embalagem contendo dados de identificação e procedência.</v>
      </c>
      <c r="E118" s="33" t="str">
        <f>'APÊNDICE II-MEMÓRIA DE CÁLCULO'!E119</f>
        <v>UNIDADE</v>
      </c>
      <c r="F118" s="35">
        <f>'APÊNDICE II-MEMÓRIA DE CÁLCULO'!L119</f>
        <v>129648</v>
      </c>
      <c r="G118" s="63" t="s">
        <v>809</v>
      </c>
      <c r="H118" s="64">
        <v>10</v>
      </c>
      <c r="I118" s="67">
        <v>1.81</v>
      </c>
      <c r="J118" s="73" t="s">
        <v>810</v>
      </c>
      <c r="K118" s="66">
        <v>10</v>
      </c>
      <c r="L118" s="67">
        <v>2.1800000000000002</v>
      </c>
      <c r="M118" s="63" t="s">
        <v>516</v>
      </c>
      <c r="N118" s="66">
        <v>1</v>
      </c>
      <c r="O118" s="67">
        <v>1.28</v>
      </c>
      <c r="P118" s="68" t="s">
        <v>705</v>
      </c>
      <c r="Q118" s="66">
        <v>1</v>
      </c>
      <c r="R118" s="67">
        <f>18.18/7</f>
        <v>2.597142857142857</v>
      </c>
      <c r="S118" s="68" t="s">
        <v>683</v>
      </c>
      <c r="T118" s="66">
        <v>1</v>
      </c>
      <c r="U118" s="67">
        <f>14.9/7</f>
        <v>2.1285714285714286</v>
      </c>
      <c r="V118" s="37">
        <f t="shared" si="13"/>
        <v>0.4381795364031158</v>
      </c>
      <c r="W118" s="58">
        <f t="shared" si="14"/>
        <v>0.21918370407473278</v>
      </c>
      <c r="X118" s="23">
        <f t="shared" si="20"/>
        <v>2</v>
      </c>
      <c r="Y118" s="38">
        <f t="shared" si="12"/>
        <v>259296</v>
      </c>
      <c r="Z118" s="6">
        <f t="shared" si="15"/>
        <v>1.9692857142857143</v>
      </c>
      <c r="AA118" s="5">
        <f t="shared" si="16"/>
        <v>1.9991428571428571</v>
      </c>
      <c r="AB118" s="8">
        <f t="shared" si="17"/>
        <v>0.4381795364031158</v>
      </c>
      <c r="AC118" s="7">
        <f t="shared" si="18"/>
        <v>0.21918370407473278</v>
      </c>
      <c r="AD118" s="5"/>
      <c r="AE118" s="5"/>
    </row>
    <row r="119" spans="1:31" ht="132" customHeight="1" x14ac:dyDescent="0.3">
      <c r="A119" s="26">
        <v>115</v>
      </c>
      <c r="B119" s="32">
        <f>'APÊNDICE II-MEMÓRIA DE CÁLCULO'!B120</f>
        <v>12359</v>
      </c>
      <c r="C119" s="33">
        <f>'APÊNDICE II-MEMÓRIA DE CÁLCULO'!C120</f>
        <v>437863</v>
      </c>
      <c r="D119" s="34" t="str">
        <f>'APÊNDICE II-MEMÓRIA DE CÁLCULO'!D120</f>
        <v>Fita hospitalar - tipo: esparadrapo impermeável, material: dorso de tecido 100% algodão, dimensões: 10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v>
      </c>
      <c r="E119" s="33" t="str">
        <f>'APÊNDICE II-MEMÓRIA DE CÁLCULO'!E120</f>
        <v>UNIDADE</v>
      </c>
      <c r="F119" s="35">
        <f>'APÊNDICE II-MEMÓRIA DE CÁLCULO'!L120</f>
        <v>2436</v>
      </c>
      <c r="G119" s="63" t="s">
        <v>809</v>
      </c>
      <c r="H119" s="64">
        <v>19</v>
      </c>
      <c r="I119" s="67">
        <v>7.66</v>
      </c>
      <c r="J119" s="73" t="s">
        <v>810</v>
      </c>
      <c r="K119" s="66">
        <v>3</v>
      </c>
      <c r="L119" s="67">
        <v>7.95</v>
      </c>
      <c r="M119" s="63" t="s">
        <v>552</v>
      </c>
      <c r="N119" s="66">
        <v>1</v>
      </c>
      <c r="O119" s="67">
        <v>8.1999999999999993</v>
      </c>
      <c r="P119" s="68" t="s">
        <v>351</v>
      </c>
      <c r="Q119" s="66">
        <v>1</v>
      </c>
      <c r="R119" s="67">
        <v>10.95</v>
      </c>
      <c r="S119" s="68" t="s">
        <v>706</v>
      </c>
      <c r="T119" s="66">
        <v>1</v>
      </c>
      <c r="U119" s="67">
        <v>12.45</v>
      </c>
      <c r="V119" s="37">
        <f t="shared" si="13"/>
        <v>1.9113492616473844</v>
      </c>
      <c r="W119" s="58">
        <f t="shared" si="14"/>
        <v>0.20243055090525147</v>
      </c>
      <c r="X119" s="23">
        <f t="shared" si="20"/>
        <v>8.0399999999999991</v>
      </c>
      <c r="Y119" s="38">
        <f t="shared" si="12"/>
        <v>19585.439999999999</v>
      </c>
      <c r="Z119" s="6">
        <f t="shared" si="15"/>
        <v>8.0749999999999993</v>
      </c>
      <c r="AA119" s="5">
        <f t="shared" si="16"/>
        <v>9.4420000000000002</v>
      </c>
      <c r="AB119" s="8">
        <f t="shared" si="17"/>
        <v>1.9113492616473844</v>
      </c>
      <c r="AC119" s="7">
        <f t="shared" si="18"/>
        <v>0.20243055090525147</v>
      </c>
      <c r="AD119" s="5"/>
      <c r="AE119" s="5"/>
    </row>
    <row r="120" spans="1:31" ht="132" customHeight="1" x14ac:dyDescent="0.3">
      <c r="A120" s="26">
        <v>116</v>
      </c>
      <c r="B120" s="32">
        <f>'APÊNDICE II-MEMÓRIA DE CÁLCULO'!B121</f>
        <v>12360</v>
      </c>
      <c r="C120" s="33">
        <f>'APÊNDICE II-MEMÓRIA DE CÁLCULO'!C121</f>
        <v>437862</v>
      </c>
      <c r="D120" s="34" t="str">
        <f>'APÊNDICE II-MEMÓRIA DE CÁLCULO'!D121</f>
        <v>Fita hospitalar - tipo: esparadrapo impermeável, material: dorso de tecido 100% algodão, dimensões: 5 cm x 4,5 m, características adicionais: impermeabilizante em uma das faces e com massa adesiva a base de óxido de zinco e borracha na outra, na cor branca, utilizável em temperatura entre 0 e 60ºC, com forte adesão a pele, alto tack, excelente flexibilidade, resistente e impermeável, apresentável em carretel plástico com capa plástica de proteção. Embalagem individual contendo externamente dados de identificação e procedência, prazo de validade e registro em órgão competente.</v>
      </c>
      <c r="E120" s="33" t="str">
        <f>'APÊNDICE II-MEMÓRIA DE CÁLCULO'!E121</f>
        <v>UNIDADE</v>
      </c>
      <c r="F120" s="35">
        <f>'APÊNDICE II-MEMÓRIA DE CÁLCULO'!L121</f>
        <v>376</v>
      </c>
      <c r="G120" s="63" t="s">
        <v>809</v>
      </c>
      <c r="H120" s="64">
        <v>10</v>
      </c>
      <c r="I120" s="67">
        <v>6.41</v>
      </c>
      <c r="J120" s="73" t="s">
        <v>810</v>
      </c>
      <c r="K120" s="66">
        <v>7</v>
      </c>
      <c r="L120" s="67">
        <v>5.3</v>
      </c>
      <c r="M120" s="63" t="s">
        <v>553</v>
      </c>
      <c r="N120" s="66">
        <v>1</v>
      </c>
      <c r="O120" s="67">
        <v>3.8</v>
      </c>
      <c r="P120" s="68" t="s">
        <v>387</v>
      </c>
      <c r="Q120" s="66">
        <v>1</v>
      </c>
      <c r="R120" s="67">
        <v>5.47</v>
      </c>
      <c r="S120" s="68" t="s">
        <v>707</v>
      </c>
      <c r="T120" s="66">
        <v>1</v>
      </c>
      <c r="U120" s="67">
        <v>4.9000000000000004</v>
      </c>
      <c r="V120" s="37">
        <f t="shared" si="13"/>
        <v>0.8478348895864124</v>
      </c>
      <c r="W120" s="58">
        <f t="shared" si="14"/>
        <v>0.16380117650433007</v>
      </c>
      <c r="X120" s="23">
        <f t="shared" si="20"/>
        <v>5.77</v>
      </c>
      <c r="Y120" s="38">
        <f t="shared" si="12"/>
        <v>2169.52</v>
      </c>
      <c r="Z120" s="6">
        <f t="shared" si="15"/>
        <v>5.0999999999999996</v>
      </c>
      <c r="AA120" s="5">
        <f t="shared" si="16"/>
        <v>5.1760000000000002</v>
      </c>
      <c r="AB120" s="8">
        <f t="shared" si="17"/>
        <v>0.8478348895864124</v>
      </c>
      <c r="AC120" s="7">
        <f t="shared" si="18"/>
        <v>0.16380117650433007</v>
      </c>
      <c r="AD120" s="5"/>
      <c r="AE120" s="5"/>
    </row>
    <row r="121" spans="1:31" ht="132" customHeight="1" x14ac:dyDescent="0.3">
      <c r="A121" s="26">
        <v>117</v>
      </c>
      <c r="B121" s="32">
        <f>'APÊNDICE II-MEMÓRIA DE CÁLCULO'!B122</f>
        <v>12361</v>
      </c>
      <c r="C121" s="33" t="str">
        <f>'APÊNDICE II-MEMÓRIA DE CÁLCULO'!C122</f>
        <v>-</v>
      </c>
      <c r="D121" s="34" t="str">
        <f>'APÊNDICE II-MEMÓRIA DE CÁLCULO'!D122</f>
        <v xml:space="preserve">Fita hospitalar - tipo: esparadrapo microporoso, dimensão: 10 cm x 4,5 m, material: confeccionado em tecido não tecido de fio de algodão ou viscose, características adicionais: antialérgico, massa adesiva com boa aderência, isento de substância alérgenas, enrolado em carretel. Embalagem individual contendo externamente dados de identificação e procedência, lote, prazo de validade e registro em órgão competente.
</v>
      </c>
      <c r="E121" s="33" t="str">
        <f>'APÊNDICE II-MEMÓRIA DE CÁLCULO'!E122</f>
        <v>UNIDADE</v>
      </c>
      <c r="F121" s="35">
        <f>'APÊNDICE II-MEMÓRIA DE CÁLCULO'!L122</f>
        <v>1564</v>
      </c>
      <c r="G121" s="63" t="s">
        <v>809</v>
      </c>
      <c r="H121" s="64">
        <v>1</v>
      </c>
      <c r="I121" s="67">
        <v>6.07</v>
      </c>
      <c r="J121" s="73" t="s">
        <v>810</v>
      </c>
      <c r="K121" s="66">
        <v>11</v>
      </c>
      <c r="L121" s="67">
        <v>8.3699999999999992</v>
      </c>
      <c r="M121" s="63" t="s">
        <v>562</v>
      </c>
      <c r="N121" s="66">
        <v>1</v>
      </c>
      <c r="O121" s="67">
        <v>5.59</v>
      </c>
      <c r="P121" s="68" t="s">
        <v>823</v>
      </c>
      <c r="Q121" s="66">
        <v>1</v>
      </c>
      <c r="R121" s="67">
        <v>8.9</v>
      </c>
      <c r="S121" s="68" t="s">
        <v>387</v>
      </c>
      <c r="T121" s="66">
        <v>1</v>
      </c>
      <c r="U121" s="67">
        <v>10.16</v>
      </c>
      <c r="V121" s="37">
        <f t="shared" si="13"/>
        <v>1.7308887890329587</v>
      </c>
      <c r="W121" s="58">
        <f t="shared" si="14"/>
        <v>0.22139790087400341</v>
      </c>
      <c r="X121" s="23">
        <f t="shared" si="20"/>
        <v>8.19</v>
      </c>
      <c r="Y121" s="38">
        <f t="shared" si="12"/>
        <v>12809.16</v>
      </c>
      <c r="Z121" s="6">
        <f t="shared" si="15"/>
        <v>7.22</v>
      </c>
      <c r="AA121" s="5">
        <f t="shared" si="16"/>
        <v>7.8180000000000005</v>
      </c>
      <c r="AB121" s="8">
        <f t="shared" si="17"/>
        <v>1.7308887890329587</v>
      </c>
      <c r="AC121" s="7">
        <f t="shared" si="18"/>
        <v>0.22139790087400341</v>
      </c>
      <c r="AD121" s="5"/>
      <c r="AE121" s="5"/>
    </row>
    <row r="122" spans="1:31" ht="111" customHeight="1" x14ac:dyDescent="0.3">
      <c r="A122" s="26">
        <v>118</v>
      </c>
      <c r="B122" s="32">
        <f>'APÊNDICE II-MEMÓRIA DE CÁLCULO'!B123</f>
        <v>12362</v>
      </c>
      <c r="C122" s="33">
        <f>'APÊNDICE II-MEMÓRIA DE CÁLCULO'!C123</f>
        <v>452987</v>
      </c>
      <c r="D122" s="34" t="str">
        <f>'APÊNDICE II-MEMÓRIA DE CÁLCULO'!D123</f>
        <v>Fio guia (Mandril) - tamanho: infantil, dimensões aproximadas: diâmetro de 2,0mm e comprimento de 300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v>
      </c>
      <c r="E122" s="33" t="str">
        <f>'APÊNDICE II-MEMÓRIA DE CÁLCULO'!E123</f>
        <v>UNIDADE</v>
      </c>
      <c r="F122" s="35">
        <f>'APÊNDICE II-MEMÓRIA DE CÁLCULO'!L123</f>
        <v>5</v>
      </c>
      <c r="G122" s="63" t="s">
        <v>809</v>
      </c>
      <c r="H122" s="64">
        <v>1</v>
      </c>
      <c r="I122" s="67">
        <v>53</v>
      </c>
      <c r="J122" s="73" t="s">
        <v>810</v>
      </c>
      <c r="K122" s="66">
        <v>2</v>
      </c>
      <c r="L122" s="67">
        <v>49.32</v>
      </c>
      <c r="M122" s="63" t="s">
        <v>948</v>
      </c>
      <c r="N122" s="66">
        <v>1</v>
      </c>
      <c r="O122" s="67">
        <v>60.28</v>
      </c>
      <c r="P122" s="68" t="s">
        <v>367</v>
      </c>
      <c r="Q122" s="66">
        <v>1</v>
      </c>
      <c r="R122" s="67">
        <v>77.03</v>
      </c>
      <c r="S122" s="68" t="s">
        <v>708</v>
      </c>
      <c r="T122" s="66">
        <v>1</v>
      </c>
      <c r="U122" s="67">
        <v>79</v>
      </c>
      <c r="V122" s="37">
        <f t="shared" si="13"/>
        <v>12.204477211253252</v>
      </c>
      <c r="W122" s="58">
        <f t="shared" si="14"/>
        <v>0.19151487950370732</v>
      </c>
      <c r="X122" s="23">
        <f t="shared" si="20"/>
        <v>61.33</v>
      </c>
      <c r="Y122" s="38">
        <f t="shared" si="12"/>
        <v>306.64999999999998</v>
      </c>
      <c r="Z122" s="6">
        <f t="shared" si="15"/>
        <v>56.64</v>
      </c>
      <c r="AA122" s="5">
        <f t="shared" si="16"/>
        <v>63.725999999999999</v>
      </c>
      <c r="AB122" s="8">
        <f t="shared" si="17"/>
        <v>12.204477211253252</v>
      </c>
      <c r="AC122" s="7">
        <f t="shared" si="18"/>
        <v>0.19151487950370732</v>
      </c>
      <c r="AD122" s="5"/>
      <c r="AE122" s="5"/>
    </row>
    <row r="123" spans="1:31" ht="111" customHeight="1" x14ac:dyDescent="0.3">
      <c r="A123" s="26">
        <v>119</v>
      </c>
      <c r="B123" s="32">
        <f>'APÊNDICE II-MEMÓRIA DE CÁLCULO'!B124</f>
        <v>12363</v>
      </c>
      <c r="C123" s="33">
        <f>'APÊNDICE II-MEMÓRIA DE CÁLCULO'!C124</f>
        <v>452986</v>
      </c>
      <c r="D123" s="34" t="str">
        <f>'APÊNDICE II-MEMÓRIA DE CÁLCULO'!D124</f>
        <v>Fio guia (Mandril) - tamanho: adulto, dimensões aproximadas: diâmetro de 3,2mm e comprimento de 420 mm, material: cobre flexível cromado, características: botão em termoplástico resistente, parafuso de regulagem em latão niquelado. Embalagem individual contendo dados de identificação e procedência, lote, data e tipo de esterilização, prazo de validade e registro em órgão competente.</v>
      </c>
      <c r="E123" s="33" t="str">
        <f>'APÊNDICE II-MEMÓRIA DE CÁLCULO'!E124</f>
        <v>UNIDADE</v>
      </c>
      <c r="F123" s="35">
        <f>'APÊNDICE II-MEMÓRIA DE CÁLCULO'!L124</f>
        <v>5</v>
      </c>
      <c r="G123" s="63" t="s">
        <v>809</v>
      </c>
      <c r="H123" s="64">
        <v>1</v>
      </c>
      <c r="I123" s="67">
        <v>70</v>
      </c>
      <c r="J123" s="73" t="s">
        <v>810</v>
      </c>
      <c r="K123" s="66">
        <v>1</v>
      </c>
      <c r="L123" s="67">
        <v>39</v>
      </c>
      <c r="M123" s="63" t="s">
        <v>949</v>
      </c>
      <c r="N123" s="66">
        <v>1</v>
      </c>
      <c r="O123" s="67">
        <v>64</v>
      </c>
      <c r="P123" s="68" t="s">
        <v>700</v>
      </c>
      <c r="Q123" s="66">
        <v>1</v>
      </c>
      <c r="R123" s="67">
        <v>67.87</v>
      </c>
      <c r="S123" s="68" t="s">
        <v>709</v>
      </c>
      <c r="T123" s="66">
        <v>1</v>
      </c>
      <c r="U123" s="67">
        <v>82.9</v>
      </c>
      <c r="V123" s="37">
        <f t="shared" si="13"/>
        <v>14.355098885065221</v>
      </c>
      <c r="W123" s="58">
        <f t="shared" si="14"/>
        <v>0.22168667395165123</v>
      </c>
      <c r="X123" s="23">
        <f t="shared" si="20"/>
        <v>64.75</v>
      </c>
      <c r="Y123" s="38">
        <f t="shared" si="12"/>
        <v>323.75</v>
      </c>
      <c r="Z123" s="6">
        <f t="shared" si="15"/>
        <v>65.935000000000002</v>
      </c>
      <c r="AA123" s="5">
        <f t="shared" si="16"/>
        <v>64.753999999999991</v>
      </c>
      <c r="AB123" s="8">
        <f t="shared" si="17"/>
        <v>14.355098885065221</v>
      </c>
      <c r="AC123" s="7">
        <f t="shared" si="18"/>
        <v>0.22168667395165123</v>
      </c>
      <c r="AD123" s="5"/>
      <c r="AE123" s="5"/>
    </row>
    <row r="124" spans="1:31" ht="133.5" customHeight="1" x14ac:dyDescent="0.3">
      <c r="A124" s="26">
        <v>120</v>
      </c>
      <c r="B124" s="32">
        <f>'APÊNDICE II-MEMÓRIA DE CÁLCULO'!B125</f>
        <v>12365</v>
      </c>
      <c r="C124" s="33" t="str">
        <f>'APÊNDICE II-MEMÓRIA DE CÁLCULO'!C125</f>
        <v>-</v>
      </c>
      <c r="D124" s="34" t="str">
        <f>'APÊNDICE II-MEMÓRIA DE CÁLCULO'!D125</f>
        <v>Fixador citológico - apresentação: spray, concentração: 100 ML, composição: solução de propilenoglicol e álcool absoluto, características adicionais: possui propriedades de fixação e sustentação da integridade celular de esfregaços de material biológico estendidos em lâmina de vidro, estes esfregaços quando fixados pelo fixador citológico vagispec e submetidos à coloração de papanicolaou apresentam excelente características tintoriais com ausência de pseudo-acidofilias. Embalagem contendo dados de identificação e procedência, lote, data e tipo de esterilização, prazo de validade e registro em órgão competente.</v>
      </c>
      <c r="E124" s="33" t="str">
        <f>'APÊNDICE II-MEMÓRIA DE CÁLCULO'!E125</f>
        <v>UNIDADE</v>
      </c>
      <c r="F124" s="35">
        <f>'APÊNDICE II-MEMÓRIA DE CÁLCULO'!L125</f>
        <v>100</v>
      </c>
      <c r="G124" s="63" t="s">
        <v>809</v>
      </c>
      <c r="H124" s="64">
        <v>1</v>
      </c>
      <c r="I124" s="67">
        <v>6.35</v>
      </c>
      <c r="J124" s="56" t="s">
        <v>31</v>
      </c>
      <c r="K124" s="55" t="s">
        <v>31</v>
      </c>
      <c r="L124" s="37" t="s">
        <v>31</v>
      </c>
      <c r="M124" s="63" t="s">
        <v>580</v>
      </c>
      <c r="N124" s="66">
        <v>1</v>
      </c>
      <c r="O124" s="67">
        <v>7.85</v>
      </c>
      <c r="P124" s="68" t="s">
        <v>710</v>
      </c>
      <c r="Q124" s="66">
        <v>1</v>
      </c>
      <c r="R124" s="67">
        <v>8.4</v>
      </c>
      <c r="S124" s="68" t="s">
        <v>711</v>
      </c>
      <c r="T124" s="66">
        <v>1</v>
      </c>
      <c r="U124" s="67">
        <v>9.98</v>
      </c>
      <c r="V124" s="37">
        <f t="shared" si="13"/>
        <v>1.2982006778614854</v>
      </c>
      <c r="W124" s="58">
        <f t="shared" si="14"/>
        <v>0.15938620968219588</v>
      </c>
      <c r="X124" s="23">
        <f>ROUND(SUM(I124*H124,O124*N124,R124*Q124,U124*T124,)/SUM(H124,N124,Q124,T124,),2)</f>
        <v>8.15</v>
      </c>
      <c r="Y124" s="38">
        <f t="shared" si="12"/>
        <v>815</v>
      </c>
      <c r="Z124" s="6">
        <f t="shared" si="15"/>
        <v>7.85</v>
      </c>
      <c r="AA124" s="5">
        <f t="shared" si="16"/>
        <v>8.1449999999999996</v>
      </c>
      <c r="AB124" s="8">
        <f t="shared" si="17"/>
        <v>1.2982006778614854</v>
      </c>
      <c r="AC124" s="7">
        <f t="shared" si="18"/>
        <v>0.15938620968219588</v>
      </c>
      <c r="AD124" s="5"/>
      <c r="AE124" s="5"/>
    </row>
    <row r="125" spans="1:31" ht="111" customHeight="1" x14ac:dyDescent="0.3">
      <c r="A125" s="26">
        <v>121</v>
      </c>
      <c r="B125" s="32">
        <f>'APÊNDICE II-MEMÓRIA DE CÁLCULO'!B126</f>
        <v>12371</v>
      </c>
      <c r="C125" s="33">
        <f>'APÊNDICE II-MEMÓRIA DE CÁLCULO'!C126</f>
        <v>415183</v>
      </c>
      <c r="D125" s="34" t="str">
        <f>'APÊNDICE II-MEMÓRIA DE CÁLCULO'!D126</f>
        <v xml:space="preserve">Filme para raio x digital, DI-HT dimensões: 25 x 30 cm, apresentação: caixa com 100 películas, características adicionais: processamento a seco, embalagem contendo externamente dados de identificação e procedência, lote, data de fabricação, prazo de validade e registro em órgão competente. Referência: Fujifilm. </v>
      </c>
      <c r="E125" s="33" t="str">
        <f>'APÊNDICE II-MEMÓRIA DE CÁLCULO'!E126</f>
        <v>CAIXA</v>
      </c>
      <c r="F125" s="35">
        <f>'APÊNDICE II-MEMÓRIA DE CÁLCULO'!L126</f>
        <v>60</v>
      </c>
      <c r="G125" s="63" t="s">
        <v>809</v>
      </c>
      <c r="H125" s="64">
        <v>3</v>
      </c>
      <c r="I125" s="67">
        <v>303.33</v>
      </c>
      <c r="J125" s="73" t="s">
        <v>810</v>
      </c>
      <c r="K125" s="66">
        <v>1</v>
      </c>
      <c r="L125" s="67">
        <v>346</v>
      </c>
      <c r="M125" s="40" t="s">
        <v>31</v>
      </c>
      <c r="N125" s="55" t="s">
        <v>31</v>
      </c>
      <c r="O125" s="37" t="s">
        <v>31</v>
      </c>
      <c r="P125" s="68" t="s">
        <v>390</v>
      </c>
      <c r="Q125" s="66">
        <v>1</v>
      </c>
      <c r="R125" s="67">
        <v>362</v>
      </c>
      <c r="S125" s="40" t="s">
        <v>31</v>
      </c>
      <c r="T125" s="55" t="s">
        <v>31</v>
      </c>
      <c r="U125" s="37" t="s">
        <v>31</v>
      </c>
      <c r="V125" s="37">
        <f t="shared" si="13"/>
        <v>24.763094852353714</v>
      </c>
      <c r="W125" s="58">
        <f t="shared" si="14"/>
        <v>7.3457016559442659E-2</v>
      </c>
      <c r="X125" s="23">
        <f>ROUND(SUM(I125*H125,L125*K125,R125*Q125,)/SUM(H125,K125,Q125,),2)</f>
        <v>323.60000000000002</v>
      </c>
      <c r="Y125" s="38">
        <f t="shared" si="12"/>
        <v>19416</v>
      </c>
      <c r="Z125" s="6">
        <f t="shared" si="15"/>
        <v>324.66499999999996</v>
      </c>
      <c r="AA125" s="5">
        <f t="shared" si="16"/>
        <v>337.10999999999996</v>
      </c>
      <c r="AB125" s="8">
        <f t="shared" si="17"/>
        <v>24.763094852353714</v>
      </c>
      <c r="AC125" s="7">
        <f t="shared" si="18"/>
        <v>7.3457016559442659E-2</v>
      </c>
      <c r="AD125" s="5"/>
      <c r="AE125" s="5"/>
    </row>
    <row r="126" spans="1:31" ht="111" customHeight="1" x14ac:dyDescent="0.3">
      <c r="A126" s="26">
        <v>122</v>
      </c>
      <c r="B126" s="32">
        <f>'APÊNDICE II-MEMÓRIA DE CÁLCULO'!B127</f>
        <v>16336</v>
      </c>
      <c r="C126" s="33" t="str">
        <f>'APÊNDICE II-MEMÓRIA DE CÁLCULO'!C127</f>
        <v>-</v>
      </c>
      <c r="D126" s="34" t="str">
        <f>'APÊNDICE II-MEMÓRIA DE CÁLCULO'!D127</f>
        <v xml:space="preserve">Filme radiológico - tipo: raio x digital, DI-HT, dimensões: 35x43 cm, aplicação: processamento a seco, características adicionais: caixa com 100 películas, embalagem contendo externamente dados de identificação e procedência, lote, data de fabricação, prazo de validade e registro em órgão competente. Referência: Fujifilm. </v>
      </c>
      <c r="E126" s="33" t="str">
        <f>'APÊNDICE II-MEMÓRIA DE CÁLCULO'!E127</f>
        <v>CAIXA</v>
      </c>
      <c r="F126" s="35">
        <f>'APÊNDICE II-MEMÓRIA DE CÁLCULO'!L127</f>
        <v>50</v>
      </c>
      <c r="G126" s="63" t="s">
        <v>809</v>
      </c>
      <c r="H126" s="64">
        <v>7</v>
      </c>
      <c r="I126" s="67">
        <v>930.33</v>
      </c>
      <c r="J126" s="73" t="s">
        <v>810</v>
      </c>
      <c r="K126" s="66">
        <v>4</v>
      </c>
      <c r="L126" s="67">
        <v>504.52</v>
      </c>
      <c r="M126" s="40" t="s">
        <v>31</v>
      </c>
      <c r="N126" s="55" t="s">
        <v>31</v>
      </c>
      <c r="O126" s="37" t="s">
        <v>31</v>
      </c>
      <c r="P126" s="68" t="s">
        <v>712</v>
      </c>
      <c r="Q126" s="66">
        <v>1</v>
      </c>
      <c r="R126" s="67">
        <v>765</v>
      </c>
      <c r="S126" s="68" t="s">
        <v>390</v>
      </c>
      <c r="T126" s="66">
        <v>1</v>
      </c>
      <c r="U126" s="67">
        <v>620</v>
      </c>
      <c r="V126" s="37">
        <f t="shared" si="13"/>
        <v>159.52337890964475</v>
      </c>
      <c r="W126" s="58">
        <f t="shared" si="14"/>
        <v>0.22628633283280281</v>
      </c>
      <c r="X126" s="23">
        <f>ROUND(SUM(I126*H126,L126*K126,R126*Q126,)/SUM(H126,K126,Q126,),2)</f>
        <v>774.62</v>
      </c>
      <c r="Y126" s="38">
        <f t="shared" si="12"/>
        <v>38731</v>
      </c>
      <c r="Z126" s="6">
        <f t="shared" si="15"/>
        <v>620</v>
      </c>
      <c r="AA126" s="5">
        <f t="shared" si="16"/>
        <v>704.96249999999998</v>
      </c>
      <c r="AB126" s="8">
        <f t="shared" si="17"/>
        <v>159.52337890964475</v>
      </c>
      <c r="AC126" s="7">
        <f t="shared" si="18"/>
        <v>0.22628633283280281</v>
      </c>
      <c r="AD126" s="5"/>
      <c r="AE126" s="5"/>
    </row>
    <row r="127" spans="1:31" ht="111" customHeight="1" x14ac:dyDescent="0.3">
      <c r="A127" s="26">
        <v>123</v>
      </c>
      <c r="B127" s="32">
        <f>'APÊNDICE II-MEMÓRIA DE CÁLCULO'!B128</f>
        <v>16337</v>
      </c>
      <c r="C127" s="33">
        <f>'APÊNDICE II-MEMÓRIA DE CÁLCULO'!C128</f>
        <v>415181</v>
      </c>
      <c r="D127" s="34" t="str">
        <f>'APÊNDICE II-MEMÓRIA DE CÁLCULO'!D128</f>
        <v>Filme radiológico - tipo: mamografia, dimensões: 25 X 30 cm, aplicação: processamento a seco, características adicionais: caixa com 100 películas,  embalagem contendo externamente dados de identificação e procedência, lote, data de fabricação, prazo de validade e registro em órgão competente. Referência: AGFA.</v>
      </c>
      <c r="E127" s="33" t="str">
        <f>'APÊNDICE II-MEMÓRIA DE CÁLCULO'!E128</f>
        <v>CAIXA</v>
      </c>
      <c r="F127" s="35">
        <f>'APÊNDICE II-MEMÓRIA DE CÁLCULO'!L128</f>
        <v>52</v>
      </c>
      <c r="G127" s="63" t="s">
        <v>809</v>
      </c>
      <c r="H127" s="64">
        <v>4</v>
      </c>
      <c r="I127" s="67">
        <v>598.79999999999995</v>
      </c>
      <c r="J127" s="73" t="s">
        <v>810</v>
      </c>
      <c r="K127" s="66">
        <v>2</v>
      </c>
      <c r="L127" s="67">
        <v>472.75</v>
      </c>
      <c r="M127" s="40" t="s">
        <v>31</v>
      </c>
      <c r="N127" s="55" t="s">
        <v>31</v>
      </c>
      <c r="O127" s="37" t="s">
        <v>31</v>
      </c>
      <c r="P127" s="68" t="s">
        <v>390</v>
      </c>
      <c r="Q127" s="66">
        <v>1</v>
      </c>
      <c r="R127" s="67">
        <v>572</v>
      </c>
      <c r="S127" s="40" t="s">
        <v>31</v>
      </c>
      <c r="T127" s="55" t="s">
        <v>31</v>
      </c>
      <c r="U127" s="37" t="s">
        <v>31</v>
      </c>
      <c r="V127" s="37">
        <f t="shared" si="13"/>
        <v>54.219107947905826</v>
      </c>
      <c r="W127" s="58">
        <f t="shared" si="14"/>
        <v>9.896706753291197E-2</v>
      </c>
      <c r="X127" s="23">
        <f>ROUND(SUM(I127*H127,L127*K127,R127*Q127,)/SUM(H127,K127,Q127,),2)</f>
        <v>558.96</v>
      </c>
      <c r="Y127" s="38">
        <f t="shared" si="12"/>
        <v>29065.920000000002</v>
      </c>
      <c r="Z127" s="6">
        <f t="shared" si="15"/>
        <v>522.375</v>
      </c>
      <c r="AA127" s="5">
        <f t="shared" si="16"/>
        <v>547.85</v>
      </c>
      <c r="AB127" s="8">
        <f t="shared" si="17"/>
        <v>54.219107947905826</v>
      </c>
      <c r="AC127" s="7">
        <f t="shared" si="18"/>
        <v>9.896706753291197E-2</v>
      </c>
      <c r="AD127" s="5"/>
      <c r="AE127" s="5"/>
    </row>
    <row r="128" spans="1:31" ht="111" customHeight="1" x14ac:dyDescent="0.3">
      <c r="A128" s="26">
        <v>124</v>
      </c>
      <c r="B128" s="32">
        <f>'APÊNDICE II-MEMÓRIA DE CÁLCULO'!B129</f>
        <v>12388</v>
      </c>
      <c r="C128" s="33">
        <f>'APÊNDICE II-MEMÓRIA DE CÁLCULO'!C129</f>
        <v>350646</v>
      </c>
      <c r="D128" s="34" t="str">
        <f>'APÊNDICE II-MEMÓRIA DE CÁLCULO'!D129</f>
        <v xml:space="preserve">Fita adesiva - aplicação: hospitalar, dimensões: 19 mm x 50 m, material: papel crepado cor: branca, características adicionais: com dorso de papel crepado recoberto com adesivo na face interna, resistente à esterilização pelo calor úmido. Embalagem contendo dados de identificação, procedência, prazo de validade e registro em órgão competente.
</v>
      </c>
      <c r="E128" s="33" t="str">
        <f>'APÊNDICE II-MEMÓRIA DE CÁLCULO'!E129</f>
        <v>UNIDADE</v>
      </c>
      <c r="F128" s="35">
        <f>'APÊNDICE II-MEMÓRIA DE CÁLCULO'!L129</f>
        <v>50</v>
      </c>
      <c r="G128" s="63" t="s">
        <v>809</v>
      </c>
      <c r="H128" s="64">
        <v>13</v>
      </c>
      <c r="I128" s="67">
        <v>4.83</v>
      </c>
      <c r="J128" s="73" t="s">
        <v>810</v>
      </c>
      <c r="K128" s="66">
        <v>4</v>
      </c>
      <c r="L128" s="67">
        <v>5.1100000000000003</v>
      </c>
      <c r="M128" s="63" t="s">
        <v>517</v>
      </c>
      <c r="N128" s="66">
        <v>1</v>
      </c>
      <c r="O128" s="67">
        <v>4.49</v>
      </c>
      <c r="P128" s="68" t="s">
        <v>713</v>
      </c>
      <c r="Q128" s="66">
        <v>1</v>
      </c>
      <c r="R128" s="67">
        <v>4.9000000000000004</v>
      </c>
      <c r="S128" s="68" t="s">
        <v>714</v>
      </c>
      <c r="T128" s="66">
        <v>1</v>
      </c>
      <c r="U128" s="67">
        <v>6.8</v>
      </c>
      <c r="V128" s="37">
        <f t="shared" si="13"/>
        <v>0.81187683795019128</v>
      </c>
      <c r="W128" s="58">
        <f t="shared" si="14"/>
        <v>0.15535339417340055</v>
      </c>
      <c r="X128" s="23">
        <f>ROUND(SUM(I128*H128,L128*K128,O128*N128,R128*Q128,U128*T128,)/SUM(H128,K128,N128,Q128,T128,),2)</f>
        <v>4.97</v>
      </c>
      <c r="Y128" s="38">
        <f t="shared" si="12"/>
        <v>248.5</v>
      </c>
      <c r="Z128" s="6">
        <f t="shared" si="15"/>
        <v>4.8650000000000002</v>
      </c>
      <c r="AA128" s="5">
        <f t="shared" si="16"/>
        <v>5.226</v>
      </c>
      <c r="AB128" s="8">
        <f t="shared" si="17"/>
        <v>0.81187683795019128</v>
      </c>
      <c r="AC128" s="7">
        <f t="shared" si="18"/>
        <v>0.15535339417340055</v>
      </c>
      <c r="AD128" s="5"/>
      <c r="AE128" s="5"/>
    </row>
    <row r="129" spans="1:31" ht="111" customHeight="1" x14ac:dyDescent="0.3">
      <c r="A129" s="26">
        <v>125</v>
      </c>
      <c r="B129" s="32">
        <f>'APÊNDICE II-MEMÓRIA DE CÁLCULO'!B130</f>
        <v>12390</v>
      </c>
      <c r="C129" s="33">
        <f>'APÊNDICE II-MEMÓRIA DE CÁLCULO'!C130</f>
        <v>340859</v>
      </c>
      <c r="D129" s="34" t="str">
        <f>'APÊNDICE II-MEMÓRIA DE CÁLCULO'!D130</f>
        <v>Fita adesiva - aplicação: autoclave, dimensões: 19mm x 30m, material: papel crepado, características adicionais: adesivada com dorso de papel crepado, saturado e envernizado, adesivo a base de borracha natural e resinas, tinta termo-reativa e multiparamétrica e butadien. Embalagem contendo dados de identificação, procedência, prazo de validade e registro em órgão competente.</v>
      </c>
      <c r="E129" s="33" t="str">
        <f>'APÊNDICE II-MEMÓRIA DE CÁLCULO'!E130</f>
        <v>UNIDADE</v>
      </c>
      <c r="F129" s="35">
        <f>'APÊNDICE II-MEMÓRIA DE CÁLCULO'!L130</f>
        <v>120</v>
      </c>
      <c r="G129" s="63" t="s">
        <v>809</v>
      </c>
      <c r="H129" s="64">
        <v>2</v>
      </c>
      <c r="I129" s="67">
        <v>6.88</v>
      </c>
      <c r="J129" s="56" t="s">
        <v>31</v>
      </c>
      <c r="K129" s="55" t="s">
        <v>31</v>
      </c>
      <c r="L129" s="37" t="s">
        <v>31</v>
      </c>
      <c r="M129" s="63" t="s">
        <v>518</v>
      </c>
      <c r="N129" s="66">
        <v>1</v>
      </c>
      <c r="O129" s="67">
        <v>5.39</v>
      </c>
      <c r="P129" s="68" t="s">
        <v>715</v>
      </c>
      <c r="Q129" s="66">
        <v>1</v>
      </c>
      <c r="R129" s="67">
        <v>6.84</v>
      </c>
      <c r="S129" s="68" t="s">
        <v>351</v>
      </c>
      <c r="T129" s="66">
        <v>1</v>
      </c>
      <c r="U129" s="67">
        <v>6.79</v>
      </c>
      <c r="V129" s="37">
        <f t="shared" si="13"/>
        <v>0.62723600024233317</v>
      </c>
      <c r="W129" s="58">
        <f t="shared" si="14"/>
        <v>9.6870424747850695E-2</v>
      </c>
      <c r="X129" s="23">
        <f>ROUND(SUM(I129*H129,O129*N129,R129*Q129,U129*T129,)/SUM(H129,N129,Q129,T129,),2)</f>
        <v>6.56</v>
      </c>
      <c r="Y129" s="38">
        <f t="shared" si="12"/>
        <v>787.19999999999993</v>
      </c>
      <c r="Z129" s="6">
        <f t="shared" si="15"/>
        <v>6.79</v>
      </c>
      <c r="AA129" s="5">
        <f t="shared" si="16"/>
        <v>6.4749999999999996</v>
      </c>
      <c r="AB129" s="8">
        <f t="shared" si="17"/>
        <v>0.62723600024233317</v>
      </c>
      <c r="AC129" s="7">
        <f t="shared" si="18"/>
        <v>9.6870424747850695E-2</v>
      </c>
      <c r="AD129" s="5"/>
      <c r="AE129" s="5"/>
    </row>
    <row r="130" spans="1:31" ht="111" customHeight="1" x14ac:dyDescent="0.3">
      <c r="A130" s="26">
        <v>126</v>
      </c>
      <c r="B130" s="32">
        <f>'APÊNDICE II-MEMÓRIA DE CÁLCULO'!B131</f>
        <v>12394</v>
      </c>
      <c r="C130" s="33">
        <f>'APÊNDICE II-MEMÓRIA DE CÁLCULO'!C131</f>
        <v>350986</v>
      </c>
      <c r="D130" s="34" t="str">
        <f>'APÊNDICE II-MEMÓRIA DE CÁLCULO'!D131</f>
        <v xml:space="preserve">Fio de sutura - tipo: Catgut cromado com agulha, tipo fio: 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0" s="33" t="str">
        <f>'APÊNDICE II-MEMÓRIA DE CÁLCULO'!E131</f>
        <v>CAIXA</v>
      </c>
      <c r="F130" s="35">
        <f>'APÊNDICE II-MEMÓRIA DE CÁLCULO'!L131</f>
        <v>50</v>
      </c>
      <c r="G130" s="63" t="s">
        <v>809</v>
      </c>
      <c r="H130" s="64">
        <v>5</v>
      </c>
      <c r="I130" s="67">
        <f>4.89*24</f>
        <v>117.35999999999999</v>
      </c>
      <c r="J130" s="73" t="s">
        <v>810</v>
      </c>
      <c r="K130" s="66">
        <v>4</v>
      </c>
      <c r="L130" s="67">
        <f>4.59*24</f>
        <v>110.16</v>
      </c>
      <c r="M130" s="63" t="s">
        <v>554</v>
      </c>
      <c r="N130" s="66">
        <v>1</v>
      </c>
      <c r="O130" s="67">
        <v>109</v>
      </c>
      <c r="P130" s="68" t="s">
        <v>716</v>
      </c>
      <c r="Q130" s="66">
        <v>1</v>
      </c>
      <c r="R130" s="67">
        <v>136.80000000000001</v>
      </c>
      <c r="S130" s="68" t="s">
        <v>717</v>
      </c>
      <c r="T130" s="66">
        <v>1</v>
      </c>
      <c r="U130" s="67">
        <v>96.73</v>
      </c>
      <c r="V130" s="37">
        <f t="shared" si="13"/>
        <v>13.184290652136026</v>
      </c>
      <c r="W130" s="58">
        <f t="shared" si="14"/>
        <v>0.11564152839343941</v>
      </c>
      <c r="X130" s="23">
        <f>ROUND(SUM(I130*H130,L130*K130,O130*N130,R130*Q130,U130*T130,)/SUM(H130,K130,N130,Q130,T130,),2)</f>
        <v>114.16</v>
      </c>
      <c r="Y130" s="38">
        <f t="shared" si="12"/>
        <v>5708</v>
      </c>
      <c r="Z130" s="6">
        <f t="shared" si="15"/>
        <v>109.58</v>
      </c>
      <c r="AA130" s="5">
        <f t="shared" si="16"/>
        <v>114.00999999999999</v>
      </c>
      <c r="AB130" s="8">
        <f t="shared" si="17"/>
        <v>13.184290652136026</v>
      </c>
      <c r="AC130" s="7">
        <f t="shared" si="18"/>
        <v>0.11564152839343941</v>
      </c>
      <c r="AD130" s="5"/>
      <c r="AE130" s="5"/>
    </row>
    <row r="131" spans="1:31" ht="111" customHeight="1" x14ac:dyDescent="0.3">
      <c r="A131" s="26">
        <v>127</v>
      </c>
      <c r="B131" s="32">
        <f>'APÊNDICE II-MEMÓRIA DE CÁLCULO'!B132</f>
        <v>12395</v>
      </c>
      <c r="C131" s="33" t="str">
        <f>'APÊNDICE II-MEMÓRIA DE CÁLCULO'!C132</f>
        <v>-</v>
      </c>
      <c r="D131" s="34" t="str">
        <f>'APÊNDICE II-MEMÓRIA DE CÁLCULO'!D132</f>
        <v xml:space="preserve">Fio de sutura - tipo: Catgut cromado com agulha, tipo fio: 1,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1" s="33" t="str">
        <f>'APÊNDICE II-MEMÓRIA DE CÁLCULO'!E132</f>
        <v>CAIXA</v>
      </c>
      <c r="F131" s="35">
        <f>'APÊNDICE II-MEMÓRIA DE CÁLCULO'!L132</f>
        <v>50</v>
      </c>
      <c r="G131" s="63" t="s">
        <v>809</v>
      </c>
      <c r="H131" s="64">
        <v>5</v>
      </c>
      <c r="I131" s="67">
        <f>4.89*24</f>
        <v>117.35999999999999</v>
      </c>
      <c r="J131" s="73" t="s">
        <v>810</v>
      </c>
      <c r="K131" s="66">
        <v>1</v>
      </c>
      <c r="L131" s="67">
        <f>3.99*24</f>
        <v>95.76</v>
      </c>
      <c r="M131" s="63" t="s">
        <v>555</v>
      </c>
      <c r="N131" s="66">
        <v>1</v>
      </c>
      <c r="O131" s="67">
        <v>109</v>
      </c>
      <c r="P131" s="68" t="s">
        <v>718</v>
      </c>
      <c r="Q131" s="66">
        <v>1</v>
      </c>
      <c r="R131" s="67">
        <v>99.84</v>
      </c>
      <c r="S131" s="40" t="s">
        <v>31</v>
      </c>
      <c r="T131" s="55" t="s">
        <v>31</v>
      </c>
      <c r="U131" s="37" t="s">
        <v>31</v>
      </c>
      <c r="V131" s="37">
        <f t="shared" si="13"/>
        <v>8.3637969846236615</v>
      </c>
      <c r="W131" s="58">
        <f t="shared" si="14"/>
        <v>7.9285211722662452E-2</v>
      </c>
      <c r="X131" s="23">
        <f>ROUND(SUM(I131*H131,L131*K131,O131*N131,R131*Q131,)/SUM(H131,K131,N131,Q131),2)</f>
        <v>111.43</v>
      </c>
      <c r="Y131" s="38">
        <f t="shared" si="12"/>
        <v>5571.5</v>
      </c>
      <c r="Z131" s="6">
        <f t="shared" si="15"/>
        <v>99.84</v>
      </c>
      <c r="AA131" s="5">
        <f t="shared" si="16"/>
        <v>105.49</v>
      </c>
      <c r="AB131" s="8">
        <f t="shared" si="17"/>
        <v>8.3637969846236615</v>
      </c>
      <c r="AC131" s="7">
        <f t="shared" si="18"/>
        <v>7.9285211722662452E-2</v>
      </c>
      <c r="AD131" s="5"/>
      <c r="AE131" s="5"/>
    </row>
    <row r="132" spans="1:31" ht="111" customHeight="1" x14ac:dyDescent="0.3">
      <c r="A132" s="26">
        <v>128</v>
      </c>
      <c r="B132" s="32">
        <f>'APÊNDICE II-MEMÓRIA DE CÁLCULO'!B133</f>
        <v>12396</v>
      </c>
      <c r="C132" s="33">
        <f>'APÊNDICE II-MEMÓRIA DE CÁLCULO'!C133</f>
        <v>281105</v>
      </c>
      <c r="D132" s="34" t="str">
        <f>'APÊNDICE II-MEMÓRIA DE CÁLCULO'!D133</f>
        <v xml:space="preserve">Fio de sutura - tipo: Catgut cromado com agulha, tipo fio: 2-0, comprimento agulha: 4,0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2" s="33" t="str">
        <f>'APÊNDICE II-MEMÓRIA DE CÁLCULO'!E133</f>
        <v>CAIXA</v>
      </c>
      <c r="F132" s="35">
        <f>'APÊNDICE II-MEMÓRIA DE CÁLCULO'!L133</f>
        <v>50</v>
      </c>
      <c r="G132" s="63" t="s">
        <v>809</v>
      </c>
      <c r="H132" s="64">
        <v>6</v>
      </c>
      <c r="I132" s="67">
        <f>4.11*24</f>
        <v>98.640000000000015</v>
      </c>
      <c r="J132" s="73" t="s">
        <v>810</v>
      </c>
      <c r="K132" s="66">
        <v>2</v>
      </c>
      <c r="L132" s="67">
        <f>3.84*24</f>
        <v>92.16</v>
      </c>
      <c r="M132" s="63" t="s">
        <v>556</v>
      </c>
      <c r="N132" s="66">
        <v>1</v>
      </c>
      <c r="O132" s="67">
        <v>108</v>
      </c>
      <c r="P132" s="68" t="s">
        <v>406</v>
      </c>
      <c r="Q132" s="66">
        <v>1</v>
      </c>
      <c r="R132" s="67">
        <v>122.4</v>
      </c>
      <c r="S132" s="68" t="s">
        <v>387</v>
      </c>
      <c r="T132" s="66">
        <v>1</v>
      </c>
      <c r="U132" s="67">
        <v>113.74</v>
      </c>
      <c r="V132" s="37">
        <f t="shared" si="13"/>
        <v>10.711695290662446</v>
      </c>
      <c r="W132" s="58">
        <f t="shared" si="14"/>
        <v>0.10012053025257453</v>
      </c>
      <c r="X132" s="23">
        <f t="shared" ref="X132:X138" si="21">ROUND(SUM(I132*H132,L132*K132,O132*N132,R132*Q132,U132*T132,)/SUM(H132,K132,N132,Q132,T132,),2)</f>
        <v>101.85</v>
      </c>
      <c r="Y132" s="38">
        <f t="shared" si="12"/>
        <v>5092.5</v>
      </c>
      <c r="Z132" s="6">
        <f t="shared" si="15"/>
        <v>103.32000000000001</v>
      </c>
      <c r="AA132" s="5">
        <f t="shared" si="16"/>
        <v>106.98800000000001</v>
      </c>
      <c r="AB132" s="8">
        <f t="shared" si="17"/>
        <v>10.711695290662446</v>
      </c>
      <c r="AC132" s="7">
        <f t="shared" si="18"/>
        <v>0.10012053025257453</v>
      </c>
      <c r="AD132" s="5"/>
      <c r="AE132" s="5"/>
    </row>
    <row r="133" spans="1:31" ht="111" customHeight="1" x14ac:dyDescent="0.3">
      <c r="A133" s="26">
        <v>129</v>
      </c>
      <c r="B133" s="32">
        <f>'APÊNDICE II-MEMÓRIA DE CÁLCULO'!B134</f>
        <v>12397</v>
      </c>
      <c r="C133" s="33">
        <f>'APÊNDICE II-MEMÓRIA DE CÁLCULO'!C134</f>
        <v>281043</v>
      </c>
      <c r="D133" s="34" t="str">
        <f>'APÊNDICE II-MEMÓRIA DE CÁLCULO'!D134</f>
        <v xml:space="preserve">Fio de sutura - tipo: Catgut simples com agulha, tipo fio: 2-0, comprimento agulha: 3,0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3" s="33" t="str">
        <f>'APÊNDICE II-MEMÓRIA DE CÁLCULO'!E134</f>
        <v>CAIXA</v>
      </c>
      <c r="F133" s="35">
        <f>'APÊNDICE II-MEMÓRIA DE CÁLCULO'!L134</f>
        <v>50</v>
      </c>
      <c r="G133" s="63" t="s">
        <v>809</v>
      </c>
      <c r="H133" s="64">
        <v>1</v>
      </c>
      <c r="I133" s="67">
        <f>3.78*24</f>
        <v>90.72</v>
      </c>
      <c r="J133" s="73" t="s">
        <v>810</v>
      </c>
      <c r="K133" s="66">
        <v>1</v>
      </c>
      <c r="L133" s="67">
        <f>4.23*24</f>
        <v>101.52000000000001</v>
      </c>
      <c r="M133" s="63" t="s">
        <v>557</v>
      </c>
      <c r="N133" s="66">
        <v>1</v>
      </c>
      <c r="O133" s="67">
        <v>108</v>
      </c>
      <c r="P133" s="68" t="s">
        <v>719</v>
      </c>
      <c r="Q133" s="66">
        <v>1</v>
      </c>
      <c r="R133" s="67">
        <v>155</v>
      </c>
      <c r="S133" s="68" t="s">
        <v>400</v>
      </c>
      <c r="T133" s="66">
        <v>1</v>
      </c>
      <c r="U133" s="67">
        <v>184.91</v>
      </c>
      <c r="V133" s="37">
        <f t="shared" si="13"/>
        <v>35.940874780672779</v>
      </c>
      <c r="W133" s="58">
        <f t="shared" si="14"/>
        <v>0.28072228993730203</v>
      </c>
      <c r="X133" s="23">
        <f t="shared" si="21"/>
        <v>128.03</v>
      </c>
      <c r="Y133" s="38">
        <f t="shared" ref="Y133:Y196" si="22">X133*F133</f>
        <v>6401.5</v>
      </c>
      <c r="Z133" s="6">
        <f t="shared" si="15"/>
        <v>104.76</v>
      </c>
      <c r="AA133" s="5">
        <f t="shared" si="16"/>
        <v>128.03</v>
      </c>
      <c r="AB133" s="8">
        <f t="shared" si="17"/>
        <v>35.940874780672779</v>
      </c>
      <c r="AC133" s="7">
        <f t="shared" si="18"/>
        <v>0.28072228993730203</v>
      </c>
      <c r="AD133" s="5"/>
      <c r="AE133" s="5"/>
    </row>
    <row r="134" spans="1:31" ht="111" customHeight="1" x14ac:dyDescent="0.3">
      <c r="A134" s="26">
        <v>130</v>
      </c>
      <c r="B134" s="32">
        <f>'APÊNDICE II-MEMÓRIA DE CÁLCULO'!B135</f>
        <v>12398</v>
      </c>
      <c r="C134" s="33">
        <f>'APÊNDICE II-MEMÓRIA DE CÁLCULO'!C135</f>
        <v>281057</v>
      </c>
      <c r="D134" s="34" t="str">
        <f>'APÊNDICE II-MEMÓRIA DE CÁLCULO'!D135</f>
        <v xml:space="preserve">Fio de sutura - tipo: Catgut simples com agulha, tipo fio: 3-0, comprimento agulha: 3,5 CM, tipo agulha: 1/2 círculo cilíndrica, tamanho do fio: mínimo de 70 cm de comprimento, apresentação: caixa com 24 unidades, esterelidade: estéril, características adicionais: fio em embalagem individual de papel grau cirúrgico e/ou filme termoplástico, com abertura em pétala, constando externamente dados de identificação e procedência, lote, data e tipo da esterilização, prazo de validade e registro em órgão competente. 
</v>
      </c>
      <c r="E134" s="33" t="str">
        <f>'APÊNDICE II-MEMÓRIA DE CÁLCULO'!E135</f>
        <v>CAIXA</v>
      </c>
      <c r="F134" s="35">
        <f>'APÊNDICE II-MEMÓRIA DE CÁLCULO'!L135</f>
        <v>50</v>
      </c>
      <c r="G134" s="63" t="s">
        <v>809</v>
      </c>
      <c r="H134" s="64">
        <v>1</v>
      </c>
      <c r="I134" s="67">
        <v>88</v>
      </c>
      <c r="J134" s="73" t="s">
        <v>810</v>
      </c>
      <c r="K134" s="66">
        <v>1</v>
      </c>
      <c r="L134" s="67">
        <f>3.55*24</f>
        <v>85.199999999999989</v>
      </c>
      <c r="M134" s="63" t="s">
        <v>558</v>
      </c>
      <c r="N134" s="66">
        <v>1</v>
      </c>
      <c r="O134" s="67">
        <v>108</v>
      </c>
      <c r="P134" s="68" t="s">
        <v>824</v>
      </c>
      <c r="Q134" s="66">
        <v>1</v>
      </c>
      <c r="R134" s="67">
        <v>168</v>
      </c>
      <c r="S134" s="68" t="s">
        <v>825</v>
      </c>
      <c r="T134" s="66">
        <v>1</v>
      </c>
      <c r="U134" s="67">
        <v>159</v>
      </c>
      <c r="V134" s="37">
        <f t="shared" ref="V134:V197" si="23">AB134</f>
        <v>35.186906655743357</v>
      </c>
      <c r="W134" s="58">
        <f t="shared" ref="W134:W197" si="24">AC134</f>
        <v>0.28927085379598283</v>
      </c>
      <c r="X134" s="23">
        <f t="shared" si="21"/>
        <v>121.64</v>
      </c>
      <c r="Y134" s="38">
        <f t="shared" si="22"/>
        <v>6082</v>
      </c>
      <c r="Z134" s="6">
        <f t="shared" ref="Z134:Z197" si="25">MEDIAN(L134,I134,O134,R134,U134,)</f>
        <v>98</v>
      </c>
      <c r="AA134" s="5">
        <f t="shared" ref="AA134:AA197" si="26">AVERAGE(I134,O134,R134,U134,L134)</f>
        <v>121.64000000000001</v>
      </c>
      <c r="AB134" s="8">
        <f t="shared" ref="AB134:AB197" si="27">_xlfn.STDEV.P(I134,O134,R134,U134,L134)</f>
        <v>35.186906655743357</v>
      </c>
      <c r="AC134" s="7">
        <f t="shared" ref="AC134:AC197" si="28">AB134/AA134</f>
        <v>0.28927085379598283</v>
      </c>
      <c r="AD134" s="5"/>
      <c r="AE134" s="5"/>
    </row>
    <row r="135" spans="1:31" ht="111" customHeight="1" x14ac:dyDescent="0.3">
      <c r="A135" s="26">
        <v>131</v>
      </c>
      <c r="B135" s="32">
        <f>'APÊNDICE II-MEMÓRIA DE CÁLCULO'!B136</f>
        <v>12399</v>
      </c>
      <c r="C135" s="33">
        <f>'APÊNDICE II-MEMÓRIA DE CÁLCULO'!C136</f>
        <v>351240</v>
      </c>
      <c r="D135" s="34" t="str">
        <f>'APÊNDICE II-MEMÓRIA DE CÁLCULO'!D136</f>
        <v xml:space="preserve">Fio de sutura com agulha - material: Nylon monofilamento, tipo fio: 2-0, tipo agulha: 3/8 círculo cortante, comprimento da agulha: 3,0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5" s="33" t="str">
        <f>'APÊNDICE II-MEMÓRIA DE CÁLCULO'!E136</f>
        <v>CAIXA</v>
      </c>
      <c r="F135" s="35">
        <f>'APÊNDICE II-MEMÓRIA DE CÁLCULO'!L136</f>
        <v>190</v>
      </c>
      <c r="G135" s="63" t="s">
        <v>809</v>
      </c>
      <c r="H135" s="64">
        <v>1</v>
      </c>
      <c r="I135" s="67">
        <v>38.08</v>
      </c>
      <c r="J135" s="73" t="s">
        <v>810</v>
      </c>
      <c r="K135" s="66">
        <v>4</v>
      </c>
      <c r="L135" s="67">
        <f>1.27*24</f>
        <v>30.48</v>
      </c>
      <c r="M135" s="63" t="s">
        <v>581</v>
      </c>
      <c r="N135" s="66">
        <v>1</v>
      </c>
      <c r="O135" s="67">
        <v>26.88</v>
      </c>
      <c r="P135" s="68" t="s">
        <v>689</v>
      </c>
      <c r="Q135" s="66">
        <v>1</v>
      </c>
      <c r="R135" s="67">
        <v>39.9</v>
      </c>
      <c r="S135" s="68" t="s">
        <v>357</v>
      </c>
      <c r="T135" s="66">
        <v>1</v>
      </c>
      <c r="U135" s="67">
        <v>40.99</v>
      </c>
      <c r="V135" s="37">
        <f t="shared" si="23"/>
        <v>5.5747200826588763</v>
      </c>
      <c r="W135" s="58">
        <f t="shared" si="24"/>
        <v>0.15807633649007194</v>
      </c>
      <c r="X135" s="23">
        <f t="shared" si="21"/>
        <v>33.47</v>
      </c>
      <c r="Y135" s="38">
        <f t="shared" si="22"/>
        <v>6359.3</v>
      </c>
      <c r="Z135" s="6">
        <f t="shared" si="25"/>
        <v>34.28</v>
      </c>
      <c r="AA135" s="5">
        <f t="shared" si="26"/>
        <v>35.265999999999998</v>
      </c>
      <c r="AB135" s="8">
        <f t="shared" si="27"/>
        <v>5.5747200826588763</v>
      </c>
      <c r="AC135" s="7">
        <f t="shared" si="28"/>
        <v>0.15807633649007194</v>
      </c>
      <c r="AD135" s="5"/>
      <c r="AE135" s="5"/>
    </row>
    <row r="136" spans="1:31" ht="111" customHeight="1" x14ac:dyDescent="0.3">
      <c r="A136" s="26">
        <v>132</v>
      </c>
      <c r="B136" s="32">
        <f>'APÊNDICE II-MEMÓRIA DE CÁLCULO'!B137</f>
        <v>12400</v>
      </c>
      <c r="C136" s="33">
        <f>'APÊNDICE II-MEMÓRIA DE CÁLCULO'!C137</f>
        <v>281319</v>
      </c>
      <c r="D136" s="34" t="str">
        <f>'APÊNDICE II-MEMÓRIA DE CÁLCULO'!D137</f>
        <v xml:space="preserve">Fio de sutura com agulha - material: Nylon monofilamento, tipo fio: 3-0, tipo agulha: 3/8 círculo cortante, comprimento da agulha: mínimo de 2,0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6" s="33" t="str">
        <f>'APÊNDICE II-MEMÓRIA DE CÁLCULO'!E137</f>
        <v>CAIXA</v>
      </c>
      <c r="F136" s="35">
        <f>'APÊNDICE II-MEMÓRIA DE CÁLCULO'!L137</f>
        <v>200</v>
      </c>
      <c r="G136" s="63" t="s">
        <v>809</v>
      </c>
      <c r="H136" s="64">
        <v>1</v>
      </c>
      <c r="I136" s="67">
        <v>32.19</v>
      </c>
      <c r="J136" s="73" t="s">
        <v>810</v>
      </c>
      <c r="K136" s="66">
        <v>1</v>
      </c>
      <c r="L136" s="67">
        <f>1.58*24</f>
        <v>37.92</v>
      </c>
      <c r="M136" s="63" t="s">
        <v>582</v>
      </c>
      <c r="N136" s="66">
        <v>1</v>
      </c>
      <c r="O136" s="67">
        <v>30.75</v>
      </c>
      <c r="P136" s="68" t="s">
        <v>720</v>
      </c>
      <c r="Q136" s="66">
        <v>1</v>
      </c>
      <c r="R136" s="67">
        <v>47.9</v>
      </c>
      <c r="S136" s="68" t="s">
        <v>405</v>
      </c>
      <c r="T136" s="66">
        <v>1</v>
      </c>
      <c r="U136" s="67">
        <v>47.99</v>
      </c>
      <c r="V136" s="37">
        <f t="shared" si="23"/>
        <v>7.4165032191727791</v>
      </c>
      <c r="W136" s="58">
        <f t="shared" si="24"/>
        <v>0.18847530417211636</v>
      </c>
      <c r="X136" s="23">
        <f t="shared" si="21"/>
        <v>39.35</v>
      </c>
      <c r="Y136" s="38">
        <f t="shared" si="22"/>
        <v>7870</v>
      </c>
      <c r="Z136" s="6">
        <f t="shared" si="25"/>
        <v>35.055</v>
      </c>
      <c r="AA136" s="5">
        <f t="shared" si="26"/>
        <v>39.35</v>
      </c>
      <c r="AB136" s="8">
        <f t="shared" si="27"/>
        <v>7.4165032191727791</v>
      </c>
      <c r="AC136" s="7">
        <f t="shared" si="28"/>
        <v>0.18847530417211636</v>
      </c>
      <c r="AD136" s="5"/>
      <c r="AE136" s="5"/>
    </row>
    <row r="137" spans="1:31" ht="111" customHeight="1" x14ac:dyDescent="0.3">
      <c r="A137" s="26">
        <v>133</v>
      </c>
      <c r="B137" s="32">
        <f>'APÊNDICE II-MEMÓRIA DE CÁLCULO'!B138</f>
        <v>12401</v>
      </c>
      <c r="C137" s="33">
        <f>'APÊNDICE II-MEMÓRIA DE CÁLCULO'!C138</f>
        <v>281325</v>
      </c>
      <c r="D137" s="34" t="str">
        <f>'APÊNDICE II-MEMÓRIA DE CÁLCULO'!D138</f>
        <v xml:space="preserve">Fio de sutura com agulha - material: Nylon monofilamento, tipo fio: 4-0, tipo agulha: 3/8 círculo cortante, comprimento da agulha: 2,5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7" s="33" t="str">
        <f>'APÊNDICE II-MEMÓRIA DE CÁLCULO'!E138</f>
        <v>CAIXA</v>
      </c>
      <c r="F137" s="35">
        <f>'APÊNDICE II-MEMÓRIA DE CÁLCULO'!L138</f>
        <v>50</v>
      </c>
      <c r="G137" s="63" t="s">
        <v>809</v>
      </c>
      <c r="H137" s="64">
        <v>4</v>
      </c>
      <c r="I137" s="67">
        <v>49.11</v>
      </c>
      <c r="J137" s="73" t="s">
        <v>810</v>
      </c>
      <c r="K137" s="66">
        <v>7</v>
      </c>
      <c r="L137" s="67">
        <f>1.81*24</f>
        <v>43.44</v>
      </c>
      <c r="M137" s="63" t="s">
        <v>583</v>
      </c>
      <c r="N137" s="66">
        <v>1</v>
      </c>
      <c r="O137" s="67">
        <v>26.87</v>
      </c>
      <c r="P137" s="68" t="s">
        <v>721</v>
      </c>
      <c r="Q137" s="66">
        <v>1</v>
      </c>
      <c r="R137" s="67">
        <v>44.06</v>
      </c>
      <c r="S137" s="68" t="s">
        <v>720</v>
      </c>
      <c r="T137" s="66">
        <v>1</v>
      </c>
      <c r="U137" s="67">
        <v>47.5</v>
      </c>
      <c r="V137" s="37">
        <f t="shared" si="23"/>
        <v>7.9478817303731777</v>
      </c>
      <c r="W137" s="58">
        <f t="shared" si="24"/>
        <v>0.18835628330583887</v>
      </c>
      <c r="X137" s="23">
        <f t="shared" si="21"/>
        <v>44.21</v>
      </c>
      <c r="Y137" s="38">
        <f t="shared" si="22"/>
        <v>2210.5</v>
      </c>
      <c r="Z137" s="6">
        <f t="shared" si="25"/>
        <v>43.75</v>
      </c>
      <c r="AA137" s="5">
        <f t="shared" si="26"/>
        <v>42.196000000000005</v>
      </c>
      <c r="AB137" s="8">
        <f t="shared" si="27"/>
        <v>7.9478817303731777</v>
      </c>
      <c r="AC137" s="7">
        <f t="shared" si="28"/>
        <v>0.18835628330583887</v>
      </c>
      <c r="AD137" s="5"/>
      <c r="AE137" s="5"/>
    </row>
    <row r="138" spans="1:31" ht="111" customHeight="1" x14ac:dyDescent="0.3">
      <c r="A138" s="26">
        <v>134</v>
      </c>
      <c r="B138" s="32">
        <f>'APÊNDICE II-MEMÓRIA DE CÁLCULO'!B139</f>
        <v>12402</v>
      </c>
      <c r="C138" s="33">
        <f>'APÊNDICE II-MEMÓRIA DE CÁLCULO'!C139</f>
        <v>281320</v>
      </c>
      <c r="D138" s="34" t="str">
        <f>'APÊNDICE II-MEMÓRIA DE CÁLCULO'!D139</f>
        <v xml:space="preserve">Fio de sutura com agulha - material: Nylon monofilamento, tipo fio: 5-0, tipo agulha: 3/8 círculo cortante, comprimento da agulha: 2,0 cm, comprimento do fio: 45 cm, apresentação: caixa com 24 unidades, características adicionais: não absorvível sintético de nylon preto, estéril, em embalagem individual de papel grau cirúrgico e/ou filme termoplástico, com abertura em pétala, contendo externamente dados de identificação e procedência, data e tipo da esterilização, prazo de validade e registro em órgão competente. </v>
      </c>
      <c r="E138" s="33" t="str">
        <f>'APÊNDICE II-MEMÓRIA DE CÁLCULO'!E139</f>
        <v>CAIXA</v>
      </c>
      <c r="F138" s="35">
        <f>'APÊNDICE II-MEMÓRIA DE CÁLCULO'!L139</f>
        <v>50</v>
      </c>
      <c r="G138" s="63" t="s">
        <v>809</v>
      </c>
      <c r="H138" s="64">
        <v>1</v>
      </c>
      <c r="I138" s="67">
        <v>32</v>
      </c>
      <c r="J138" s="73" t="s">
        <v>810</v>
      </c>
      <c r="K138" s="66">
        <v>1</v>
      </c>
      <c r="L138" s="67">
        <f>1.32*24</f>
        <v>31.68</v>
      </c>
      <c r="M138" s="63" t="s">
        <v>584</v>
      </c>
      <c r="N138" s="66">
        <v>1</v>
      </c>
      <c r="O138" s="67">
        <v>30.75</v>
      </c>
      <c r="P138" s="68" t="s">
        <v>689</v>
      </c>
      <c r="Q138" s="66">
        <v>1</v>
      </c>
      <c r="R138" s="67">
        <v>39.9</v>
      </c>
      <c r="S138" s="68" t="s">
        <v>720</v>
      </c>
      <c r="T138" s="66">
        <v>1</v>
      </c>
      <c r="U138" s="67">
        <v>47.9</v>
      </c>
      <c r="V138" s="37">
        <f t="shared" si="23"/>
        <v>6.6037916381424271</v>
      </c>
      <c r="W138" s="58">
        <f t="shared" si="24"/>
        <v>0.18119386594255682</v>
      </c>
      <c r="X138" s="23">
        <f t="shared" si="21"/>
        <v>36.450000000000003</v>
      </c>
      <c r="Y138" s="38">
        <f t="shared" si="22"/>
        <v>1822.5000000000002</v>
      </c>
      <c r="Z138" s="6">
        <f t="shared" si="25"/>
        <v>31.84</v>
      </c>
      <c r="AA138" s="5">
        <f t="shared" si="26"/>
        <v>36.446000000000005</v>
      </c>
      <c r="AB138" s="8">
        <f t="shared" si="27"/>
        <v>6.6037916381424271</v>
      </c>
      <c r="AC138" s="7">
        <f t="shared" si="28"/>
        <v>0.18119386594255682</v>
      </c>
      <c r="AD138" s="5"/>
      <c r="AE138" s="5"/>
    </row>
    <row r="139" spans="1:31" ht="111" customHeight="1" x14ac:dyDescent="0.3">
      <c r="A139" s="26">
        <v>135</v>
      </c>
      <c r="B139" s="32">
        <f>'APÊNDICE II-MEMÓRIA DE CÁLCULO'!B140</f>
        <v>16338</v>
      </c>
      <c r="C139" s="33" t="str">
        <f>'APÊNDICE II-MEMÓRIA DE CÁLCULO'!C140</f>
        <v>-</v>
      </c>
      <c r="D139" s="34" t="str">
        <f>'APÊNDICE II-MEMÓRIA DE CÁLCULO'!D140</f>
        <v xml:space="preserve">Fio de sutura com agulha - material: poliglactina 910, tipo fio: 1-0, tipo agulha: 1/2 círculo triangular (CT), comprimento da agulha: 1,5 cm, comprimento do fio: 70 cm, características adicionais: estéril, absorvível, embalagem com dados de identificação e procedência, nº de lote, data de fabricação e validade, e registro no Ministério da Saúde. </v>
      </c>
      <c r="E139" s="33" t="str">
        <f>'APÊNDICE II-MEMÓRIA DE CÁLCULO'!E140</f>
        <v>UNIDADE</v>
      </c>
      <c r="F139" s="35">
        <f>'APÊNDICE II-MEMÓRIA DE CÁLCULO'!L140</f>
        <v>100</v>
      </c>
      <c r="G139" s="63" t="s">
        <v>809</v>
      </c>
      <c r="H139" s="64">
        <v>1</v>
      </c>
      <c r="I139" s="67">
        <v>8.2899999999999991</v>
      </c>
      <c r="J139" s="73" t="s">
        <v>810</v>
      </c>
      <c r="K139" s="66">
        <v>2</v>
      </c>
      <c r="L139" s="67">
        <v>6.87</v>
      </c>
      <c r="M139" s="63" t="s">
        <v>634</v>
      </c>
      <c r="N139" s="66">
        <v>1</v>
      </c>
      <c r="O139" s="67">
        <v>9.75</v>
      </c>
      <c r="P139" s="40" t="s">
        <v>31</v>
      </c>
      <c r="Q139" s="55" t="s">
        <v>31</v>
      </c>
      <c r="R139" s="37" t="s">
        <v>31</v>
      </c>
      <c r="S139" s="40" t="s">
        <v>31</v>
      </c>
      <c r="T139" s="55" t="s">
        <v>31</v>
      </c>
      <c r="U139" s="37" t="s">
        <v>31</v>
      </c>
      <c r="V139" s="37">
        <f t="shared" si="23"/>
        <v>1.1757928766959249</v>
      </c>
      <c r="W139" s="58">
        <f t="shared" si="24"/>
        <v>0.14160492292604476</v>
      </c>
      <c r="X139" s="23">
        <f>ROUND(SUM(I139*H139,L139*K139,O139*N139,)/SUM(H139,K139,N139),2)</f>
        <v>7.95</v>
      </c>
      <c r="Y139" s="38">
        <f t="shared" si="22"/>
        <v>795</v>
      </c>
      <c r="Z139" s="6">
        <f t="shared" si="25"/>
        <v>7.58</v>
      </c>
      <c r="AA139" s="5">
        <f t="shared" si="26"/>
        <v>8.3033333333333328</v>
      </c>
      <c r="AB139" s="8">
        <f t="shared" si="27"/>
        <v>1.1757928766959249</v>
      </c>
      <c r="AC139" s="7">
        <f t="shared" si="28"/>
        <v>0.14160492292604476</v>
      </c>
      <c r="AD139" s="5"/>
      <c r="AE139" s="5"/>
    </row>
    <row r="140" spans="1:31" ht="111" customHeight="1" x14ac:dyDescent="0.3">
      <c r="A140" s="26">
        <v>136</v>
      </c>
      <c r="B140" s="32">
        <f>'APÊNDICE II-MEMÓRIA DE CÁLCULO'!B141</f>
        <v>12404</v>
      </c>
      <c r="C140" s="33">
        <f>'APÊNDICE II-MEMÓRIA DE CÁLCULO'!C141</f>
        <v>436313</v>
      </c>
      <c r="D140" s="34" t="str">
        <f>'APÊNDICE II-MEMÓRIA DE CÁLCULO'!D141</f>
        <v>Frasco coletor, tipo: universal, material: plástico transparente, capacidade: 100 ML, graduação: graduado, tipo tampa: rosqueável, uso: para exames laboratoriais de fezes, urina, escarro e esperma, características adicionais: embalagem plástica individual, constando os dados de identificação, procedência e rastreabilidade.</v>
      </c>
      <c r="E140" s="33" t="str">
        <f>'APÊNDICE II-MEMÓRIA DE CÁLCULO'!E141</f>
        <v>UNIDADE</v>
      </c>
      <c r="F140" s="35">
        <f>'APÊNDICE II-MEMÓRIA DE CÁLCULO'!L141</f>
        <v>5000</v>
      </c>
      <c r="G140" s="63" t="s">
        <v>809</v>
      </c>
      <c r="H140" s="64">
        <v>2</v>
      </c>
      <c r="I140" s="67">
        <v>0.92</v>
      </c>
      <c r="J140" s="56" t="s">
        <v>31</v>
      </c>
      <c r="K140" s="55" t="s">
        <v>31</v>
      </c>
      <c r="L140" s="37" t="s">
        <v>31</v>
      </c>
      <c r="M140" s="63" t="s">
        <v>519</v>
      </c>
      <c r="N140" s="66">
        <v>1</v>
      </c>
      <c r="O140" s="67">
        <v>0.74</v>
      </c>
      <c r="P140" s="68" t="s">
        <v>722</v>
      </c>
      <c r="Q140" s="66">
        <v>1</v>
      </c>
      <c r="R140" s="67">
        <v>0.9</v>
      </c>
      <c r="S140" s="68" t="s">
        <v>729</v>
      </c>
      <c r="T140" s="66">
        <v>1</v>
      </c>
      <c r="U140" s="67">
        <v>0.5</v>
      </c>
      <c r="V140" s="37">
        <f t="shared" si="23"/>
        <v>0.16815171720800251</v>
      </c>
      <c r="W140" s="58">
        <f t="shared" si="24"/>
        <v>0.2198061662849706</v>
      </c>
      <c r="X140" s="23">
        <f>ROUND(SUM(I140*H140,O140*N140,R140*Q140,U140*T140,)/SUM(H140,N140,Q140,T140,),2)</f>
        <v>0.8</v>
      </c>
      <c r="Y140" s="38">
        <f t="shared" si="22"/>
        <v>4000</v>
      </c>
      <c r="Z140" s="6">
        <f t="shared" si="25"/>
        <v>0.74</v>
      </c>
      <c r="AA140" s="5">
        <f t="shared" si="26"/>
        <v>0.76500000000000001</v>
      </c>
      <c r="AB140" s="8">
        <f t="shared" si="27"/>
        <v>0.16815171720800251</v>
      </c>
      <c r="AC140" s="7">
        <f t="shared" si="28"/>
        <v>0.2198061662849706</v>
      </c>
      <c r="AD140" s="5"/>
      <c r="AE140" s="5"/>
    </row>
    <row r="141" spans="1:31" ht="111" customHeight="1" x14ac:dyDescent="0.3">
      <c r="A141" s="26">
        <v>137</v>
      </c>
      <c r="B141" s="32">
        <f>'APÊNDICE II-MEMÓRIA DE CÁLCULO'!B142</f>
        <v>12405</v>
      </c>
      <c r="C141" s="33" t="str">
        <f>'APÊNDICE II-MEMÓRIA DE CÁLCULO'!C142</f>
        <v>-</v>
      </c>
      <c r="D141" s="34" t="str">
        <f>'APÊNDICE II-MEMÓRIA DE CÁLCULO'!D142</f>
        <v>Filtro bacterial viral HMEF- KS - Indicado para a proteção do paciente, evitando complicações relacionadas à falta de calor e umidade no ar inspirado e impedindo microorganismos alcançarem o trato respiratório do paciente. Possui mecanismo para troca de calor e umidade combinado com filtro bacterial e viral para uso em anestesia, terapia intensiva, medicina respiratória e ventilação mecânica.</v>
      </c>
      <c r="E141" s="33" t="str">
        <f>'APÊNDICE II-MEMÓRIA DE CÁLCULO'!E142</f>
        <v>UNIDADE</v>
      </c>
      <c r="F141" s="35">
        <f>'APÊNDICE II-MEMÓRIA DE CÁLCULO'!L142</f>
        <v>280</v>
      </c>
      <c r="G141" s="63" t="s">
        <v>809</v>
      </c>
      <c r="H141" s="64">
        <v>2</v>
      </c>
      <c r="I141" s="67">
        <v>4</v>
      </c>
      <c r="J141" s="56" t="s">
        <v>925</v>
      </c>
      <c r="K141" s="55" t="s">
        <v>31</v>
      </c>
      <c r="L141" s="37" t="s">
        <v>31</v>
      </c>
      <c r="M141" s="63" t="s">
        <v>635</v>
      </c>
      <c r="N141" s="66">
        <v>1</v>
      </c>
      <c r="O141" s="67">
        <v>6.5</v>
      </c>
      <c r="P141" s="68" t="s">
        <v>355</v>
      </c>
      <c r="Q141" s="66">
        <v>1</v>
      </c>
      <c r="R141" s="67">
        <v>7.97</v>
      </c>
      <c r="S141" s="68" t="s">
        <v>724</v>
      </c>
      <c r="T141" s="66">
        <v>1</v>
      </c>
      <c r="U141" s="67">
        <v>8</v>
      </c>
      <c r="V141" s="37">
        <f t="shared" si="23"/>
        <v>1.6283177668993229</v>
      </c>
      <c r="W141" s="58">
        <f t="shared" si="24"/>
        <v>0.24606237505089884</v>
      </c>
      <c r="X141" s="23">
        <f>ROUND(SUM(I141*H141,O141*N141,R141*Q141,U141*T141,)/SUM(H141,N141,Q141,T141,),2)</f>
        <v>6.09</v>
      </c>
      <c r="Y141" s="38">
        <f t="shared" si="22"/>
        <v>1705.2</v>
      </c>
      <c r="Z141" s="6">
        <f t="shared" si="25"/>
        <v>6.5</v>
      </c>
      <c r="AA141" s="5">
        <f t="shared" si="26"/>
        <v>6.6174999999999997</v>
      </c>
      <c r="AB141" s="8">
        <f t="shared" si="27"/>
        <v>1.6283177668993229</v>
      </c>
      <c r="AC141" s="7">
        <f t="shared" si="28"/>
        <v>0.24606237505089884</v>
      </c>
      <c r="AD141" s="5"/>
      <c r="AE141" s="5"/>
    </row>
    <row r="142" spans="1:31" ht="111" customHeight="1" x14ac:dyDescent="0.3">
      <c r="A142" s="26">
        <v>138</v>
      </c>
      <c r="B142" s="32">
        <f>'APÊNDICE II-MEMÓRIA DE CÁLCULO'!B143</f>
        <v>12406</v>
      </c>
      <c r="C142" s="33">
        <f>'APÊNDICE II-MEMÓRIA DE CÁLCULO'!C143</f>
        <v>452982</v>
      </c>
      <c r="D142" s="34" t="str">
        <f>'APÊNDICE II-MEMÓRIA DE CÁLCULO'!D143</f>
        <v>Fio guia para intubação - modelo: tipo bougie, tamanho: 6 FR neonatal, medidas: haste de aproximadamente 47 cm, características: auxiliar na introdução da sonda em procedimentos de intubação para pacientes que necessitem com urgência de ventilação pulmonar, semirrígido, sem lúmen, haste com escala graduada para referência de posicionamento extremidade distal e proximal retas.</v>
      </c>
      <c r="E142" s="33" t="str">
        <f>'APÊNDICE II-MEMÓRIA DE CÁLCULO'!E143</f>
        <v>UNIDADE</v>
      </c>
      <c r="F142" s="35">
        <f>'APÊNDICE II-MEMÓRIA DE CÁLCULO'!L143</f>
        <v>3</v>
      </c>
      <c r="G142" s="25" t="s">
        <v>31</v>
      </c>
      <c r="H142" s="54" t="s">
        <v>31</v>
      </c>
      <c r="I142" s="37" t="s">
        <v>31</v>
      </c>
      <c r="J142" s="73" t="s">
        <v>810</v>
      </c>
      <c r="K142" s="66">
        <v>3</v>
      </c>
      <c r="L142" s="67">
        <v>49.26</v>
      </c>
      <c r="M142" s="63" t="s">
        <v>451</v>
      </c>
      <c r="N142" s="66">
        <v>1</v>
      </c>
      <c r="O142" s="67">
        <v>71.349999999999994</v>
      </c>
      <c r="P142" s="68" t="s">
        <v>700</v>
      </c>
      <c r="Q142" s="66">
        <v>1</v>
      </c>
      <c r="R142" s="67">
        <v>49.9</v>
      </c>
      <c r="S142" s="68" t="s">
        <v>725</v>
      </c>
      <c r="T142" s="66">
        <v>1</v>
      </c>
      <c r="U142" s="67">
        <v>77</v>
      </c>
      <c r="V142" s="37">
        <f t="shared" si="23"/>
        <v>12.460739093248039</v>
      </c>
      <c r="W142" s="58">
        <f t="shared" si="24"/>
        <v>0.20137754584862089</v>
      </c>
      <c r="X142" s="23">
        <f>ROUND(SUM(L142*K142,O142*N142,R142*Q142,U142*T142,)/SUM(K142,N142,Q142,T142,),2)</f>
        <v>57.67</v>
      </c>
      <c r="Y142" s="38">
        <f t="shared" si="22"/>
        <v>173.01</v>
      </c>
      <c r="Z142" s="6">
        <f t="shared" si="25"/>
        <v>49.9</v>
      </c>
      <c r="AA142" s="5">
        <f t="shared" si="26"/>
        <v>61.877499999999998</v>
      </c>
      <c r="AB142" s="8">
        <f t="shared" si="27"/>
        <v>12.460739093248039</v>
      </c>
      <c r="AC142" s="7">
        <f t="shared" si="28"/>
        <v>0.20137754584862089</v>
      </c>
      <c r="AD142" s="5"/>
      <c r="AE142" s="5"/>
    </row>
    <row r="143" spans="1:31" ht="111" customHeight="1" x14ac:dyDescent="0.3">
      <c r="A143" s="26">
        <v>139</v>
      </c>
      <c r="B143" s="32">
        <f>'APÊNDICE II-MEMÓRIA DE CÁLCULO'!B144</f>
        <v>12407</v>
      </c>
      <c r="C143" s="33">
        <f>'APÊNDICE II-MEMÓRIA DE CÁLCULO'!C144</f>
        <v>369204</v>
      </c>
      <c r="D143" s="34" t="str">
        <f>'APÊNDICE II-MEMÓRIA DE CÁLCULO'!D144</f>
        <v>Gaze - tipo: hidrófila, dimensão 91 x 91 cm, material: tecido 100% algodão, quantidade fios: 13 fios/M2, formato: circular, tipo: queijo, características adicionais: altamente absorvente, cor branco, 8 camadas e dobras. Embalagem individual contendo externamente dados de identificação e procedência, prazo de validade.</v>
      </c>
      <c r="E143" s="33" t="str">
        <f>'APÊNDICE II-MEMÓRIA DE CÁLCULO'!E144</f>
        <v>UNIDADE</v>
      </c>
      <c r="F143" s="35">
        <f>'APÊNDICE II-MEMÓRIA DE CÁLCULO'!L144</f>
        <v>20</v>
      </c>
      <c r="G143" s="63" t="s">
        <v>809</v>
      </c>
      <c r="H143" s="64">
        <v>29</v>
      </c>
      <c r="I143" s="67">
        <v>28.35</v>
      </c>
      <c r="J143" s="73" t="s">
        <v>810</v>
      </c>
      <c r="K143" s="66">
        <v>1</v>
      </c>
      <c r="L143" s="67">
        <v>30.26</v>
      </c>
      <c r="M143" s="63" t="s">
        <v>520</v>
      </c>
      <c r="N143" s="66">
        <v>1</v>
      </c>
      <c r="O143" s="67">
        <v>26.39</v>
      </c>
      <c r="P143" s="40" t="s">
        <v>31</v>
      </c>
      <c r="Q143" s="55" t="s">
        <v>31</v>
      </c>
      <c r="R143" s="37" t="s">
        <v>31</v>
      </c>
      <c r="S143" s="68" t="s">
        <v>726</v>
      </c>
      <c r="T143" s="66">
        <v>1</v>
      </c>
      <c r="U143" s="67">
        <v>40.9</v>
      </c>
      <c r="V143" s="37">
        <f t="shared" si="23"/>
        <v>5.610920156266709</v>
      </c>
      <c r="W143" s="58">
        <f t="shared" si="24"/>
        <v>0.17826593030235771</v>
      </c>
      <c r="X143" s="23">
        <f>ROUND(SUM(I143*H143,L143*K143,O143*N143,U143*T143,)/SUM(H143,K143,N143,T143,),2)</f>
        <v>28.74</v>
      </c>
      <c r="Y143" s="38">
        <f t="shared" si="22"/>
        <v>574.79999999999995</v>
      </c>
      <c r="Z143" s="6">
        <f t="shared" si="25"/>
        <v>28.35</v>
      </c>
      <c r="AA143" s="5">
        <f t="shared" si="26"/>
        <v>31.475000000000001</v>
      </c>
      <c r="AB143" s="8">
        <f t="shared" si="27"/>
        <v>5.610920156266709</v>
      </c>
      <c r="AC143" s="7">
        <f t="shared" si="28"/>
        <v>0.17826593030235771</v>
      </c>
      <c r="AD143" s="5"/>
      <c r="AE143" s="5"/>
    </row>
    <row r="144" spans="1:31" ht="111" customHeight="1" x14ac:dyDescent="0.3">
      <c r="A144" s="26">
        <v>140</v>
      </c>
      <c r="B144" s="32">
        <f>'APÊNDICE II-MEMÓRIA DE CÁLCULO'!B145</f>
        <v>12408</v>
      </c>
      <c r="C144" s="33">
        <f>'APÊNDICE II-MEMÓRIA DE CÁLCULO'!C145</f>
        <v>445576</v>
      </c>
      <c r="D144" s="34" t="str">
        <f>'APÊNDICE II-MEMÓRIA DE CÁLCULO'!D145</f>
        <v xml:space="preserve">Garrote com trava - tamanho: adulto,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v>
      </c>
      <c r="E144" s="33" t="str">
        <f>'APÊNDICE II-MEMÓRIA DE CÁLCULO'!E145</f>
        <v>UNIDADE</v>
      </c>
      <c r="F144" s="35">
        <f>'APÊNDICE II-MEMÓRIA DE CÁLCULO'!L145</f>
        <v>5</v>
      </c>
      <c r="G144" s="63" t="s">
        <v>809</v>
      </c>
      <c r="H144" s="64">
        <v>3</v>
      </c>
      <c r="I144" s="67">
        <v>8.25</v>
      </c>
      <c r="J144" s="73" t="s">
        <v>810</v>
      </c>
      <c r="K144" s="66">
        <v>4</v>
      </c>
      <c r="L144" s="67">
        <v>7.39</v>
      </c>
      <c r="M144" s="63" t="s">
        <v>585</v>
      </c>
      <c r="N144" s="66">
        <v>1</v>
      </c>
      <c r="O144" s="67">
        <v>8.69</v>
      </c>
      <c r="P144" s="68" t="s">
        <v>364</v>
      </c>
      <c r="Q144" s="66">
        <v>1</v>
      </c>
      <c r="R144" s="67">
        <v>9.09</v>
      </c>
      <c r="S144" s="68" t="s">
        <v>351</v>
      </c>
      <c r="T144" s="66">
        <v>1</v>
      </c>
      <c r="U144" s="67">
        <v>8.39</v>
      </c>
      <c r="V144" s="37">
        <f t="shared" si="23"/>
        <v>0.56492123344763745</v>
      </c>
      <c r="W144" s="58">
        <f t="shared" si="24"/>
        <v>6.7558147984649305E-2</v>
      </c>
      <c r="X144" s="23">
        <f>ROUND(SUM(I144*H144,L144*K144,O144*N144,R144*Q144,U144*T144,)/SUM(H144,K144,N144,Q144,T144,),2)</f>
        <v>8.0500000000000007</v>
      </c>
      <c r="Y144" s="38">
        <f t="shared" si="22"/>
        <v>40.25</v>
      </c>
      <c r="Z144" s="6">
        <f t="shared" si="25"/>
        <v>8.32</v>
      </c>
      <c r="AA144" s="5">
        <f t="shared" si="26"/>
        <v>8.3620000000000001</v>
      </c>
      <c r="AB144" s="8">
        <f t="shared" si="27"/>
        <v>0.56492123344763745</v>
      </c>
      <c r="AC144" s="7">
        <f t="shared" si="28"/>
        <v>6.7558147984649305E-2</v>
      </c>
      <c r="AD144" s="5"/>
      <c r="AE144" s="5"/>
    </row>
    <row r="145" spans="1:31" ht="111" customHeight="1" x14ac:dyDescent="0.3">
      <c r="A145" s="26">
        <v>141</v>
      </c>
      <c r="B145" s="32">
        <f>'APÊNDICE II-MEMÓRIA DE CÁLCULO'!B146</f>
        <v>12409</v>
      </c>
      <c r="C145" s="33">
        <f>'APÊNDICE II-MEMÓRIA DE CÁLCULO'!C146</f>
        <v>445577</v>
      </c>
      <c r="D145" s="34" t="str">
        <f>'APÊNDICE II-MEMÓRIA DE CÁLCULO'!D146</f>
        <v xml:space="preserve">Garrote com trava - tamanho: infantil, material: tecido/faixa elástico (a), características adicionais: trava com dois estágios:1º: alívio e 2º: retirada, antialérgicos, apresentação: unitário, tipo de uso: reutilizável. Embalagem contendo dados de identificação, procedência, lote, validade e registro em órgão competente. </v>
      </c>
      <c r="E145" s="33" t="str">
        <f>'APÊNDICE II-MEMÓRIA DE CÁLCULO'!E146</f>
        <v>UNIDADE</v>
      </c>
      <c r="F145" s="35">
        <f>'APÊNDICE II-MEMÓRIA DE CÁLCULO'!L146</f>
        <v>5</v>
      </c>
      <c r="G145" s="63" t="s">
        <v>809</v>
      </c>
      <c r="H145" s="64">
        <v>2</v>
      </c>
      <c r="I145" s="67">
        <v>7.53</v>
      </c>
      <c r="J145" s="73" t="s">
        <v>810</v>
      </c>
      <c r="K145" s="66">
        <v>2</v>
      </c>
      <c r="L145" s="67">
        <v>8.7100000000000009</v>
      </c>
      <c r="M145" s="63" t="s">
        <v>586</v>
      </c>
      <c r="N145" s="66">
        <v>1</v>
      </c>
      <c r="O145" s="67">
        <v>8.8000000000000007</v>
      </c>
      <c r="P145" s="68" t="s">
        <v>715</v>
      </c>
      <c r="Q145" s="66">
        <v>1</v>
      </c>
      <c r="R145" s="67">
        <v>10.19</v>
      </c>
      <c r="S145" s="68" t="s">
        <v>727</v>
      </c>
      <c r="T145" s="66">
        <v>1</v>
      </c>
      <c r="U145" s="67">
        <v>12.9</v>
      </c>
      <c r="V145" s="37">
        <f t="shared" si="23"/>
        <v>1.8412886791592471</v>
      </c>
      <c r="W145" s="58">
        <f t="shared" si="24"/>
        <v>0.19128284637016901</v>
      </c>
      <c r="X145" s="23">
        <f>ROUND(SUM(I145*H145,L145*K145,O145*N145,R145*Q145,U145*T145,)/SUM(H145,K145,N145,Q145,T145,),2)</f>
        <v>9.1999999999999993</v>
      </c>
      <c r="Y145" s="38">
        <f t="shared" si="22"/>
        <v>46</v>
      </c>
      <c r="Z145" s="6">
        <f t="shared" si="25"/>
        <v>8.7550000000000008</v>
      </c>
      <c r="AA145" s="5">
        <f t="shared" si="26"/>
        <v>9.6260000000000012</v>
      </c>
      <c r="AB145" s="8">
        <f t="shared" si="27"/>
        <v>1.8412886791592471</v>
      </c>
      <c r="AC145" s="7">
        <f t="shared" si="28"/>
        <v>0.19128284637016901</v>
      </c>
      <c r="AD145" s="5"/>
      <c r="AE145" s="5"/>
    </row>
    <row r="146" spans="1:31" ht="111" customHeight="1" x14ac:dyDescent="0.3">
      <c r="A146" s="26">
        <v>142</v>
      </c>
      <c r="B146" s="32">
        <f>'APÊNDICE II-MEMÓRIA DE CÁLCULO'!B147</f>
        <v>16606</v>
      </c>
      <c r="C146" s="33" t="str">
        <f>'APÊNDICE II-MEMÓRIA DE CÁLCULO'!C147</f>
        <v>-</v>
      </c>
      <c r="D146" s="34" t="str">
        <f>'APÊNDICE II-MEMÓRIA DE CÁLCULO'!D147</f>
        <v>Gel - aplicação: para ultrassonografia, capacidade: 1 KG, características adicionais: eletrolítico para ultrassonografia, embalagem contendo externamente dados de identificação e procedência, lote, prazo de validade e registro em órgão competente.</v>
      </c>
      <c r="E146" s="33" t="str">
        <f>'APÊNDICE II-MEMÓRIA DE CÁLCULO'!E147</f>
        <v>KG</v>
      </c>
      <c r="F146" s="35">
        <f>'APÊNDICE II-MEMÓRIA DE CÁLCULO'!L147</f>
        <v>250</v>
      </c>
      <c r="G146" s="63" t="s">
        <v>809</v>
      </c>
      <c r="H146" s="64">
        <v>5</v>
      </c>
      <c r="I146" s="67">
        <v>7.89</v>
      </c>
      <c r="J146" s="73" t="s">
        <v>810</v>
      </c>
      <c r="K146" s="66">
        <v>1</v>
      </c>
      <c r="L146" s="67">
        <v>6.8</v>
      </c>
      <c r="M146" s="63" t="s">
        <v>521</v>
      </c>
      <c r="N146" s="66">
        <v>1</v>
      </c>
      <c r="O146" s="67">
        <v>6.72</v>
      </c>
      <c r="P146" s="68" t="s">
        <v>351</v>
      </c>
      <c r="Q146" s="66">
        <v>1</v>
      </c>
      <c r="R146" s="67">
        <v>9.99</v>
      </c>
      <c r="S146" s="68" t="s">
        <v>386</v>
      </c>
      <c r="T146" s="66">
        <v>1</v>
      </c>
      <c r="U146" s="67">
        <v>6.5</v>
      </c>
      <c r="V146" s="37">
        <f t="shared" si="23"/>
        <v>1.2975823673277977</v>
      </c>
      <c r="W146" s="58">
        <f t="shared" si="24"/>
        <v>0.17118500888229521</v>
      </c>
      <c r="X146" s="23">
        <f>ROUND(SUM(I146*H146,L146*K146,O146*N146,R146*Q146,U146*T146,)/SUM(H146,K146,N146,Q146,T146,),2)</f>
        <v>7.72</v>
      </c>
      <c r="Y146" s="38">
        <f t="shared" si="22"/>
        <v>1930</v>
      </c>
      <c r="Z146" s="6">
        <f t="shared" si="25"/>
        <v>6.76</v>
      </c>
      <c r="AA146" s="5">
        <f t="shared" si="26"/>
        <v>7.58</v>
      </c>
      <c r="AB146" s="8">
        <f t="shared" si="27"/>
        <v>1.2975823673277977</v>
      </c>
      <c r="AC146" s="7">
        <f t="shared" si="28"/>
        <v>0.17118500888229521</v>
      </c>
      <c r="AD146" s="5"/>
      <c r="AE146" s="5"/>
    </row>
    <row r="147" spans="1:31" ht="111" customHeight="1" x14ac:dyDescent="0.3">
      <c r="A147" s="26">
        <v>143</v>
      </c>
      <c r="B147" s="32">
        <f>'APÊNDICE II-MEMÓRIA DE CÁLCULO'!B148</f>
        <v>12411</v>
      </c>
      <c r="C147" s="33">
        <f>'APÊNDICE II-MEMÓRIA DE CÁLCULO'!C148</f>
        <v>230811</v>
      </c>
      <c r="D147" s="34" t="str">
        <f>'APÊNDICE II-MEMÓRIA DE CÁLCULO'!D148</f>
        <v xml:space="preserve">Gel - aplicação: ECG, eletrocondutor para eletrocardiograma, capacidade: frasco com 100G, características adicionais: embalagem contendo externamente dados de identificação e procedência, lote, prazo de validade e registro em órgão competente. </v>
      </c>
      <c r="E147" s="33" t="str">
        <f>'APÊNDICE II-MEMÓRIA DE CÁLCULO'!E148</f>
        <v>FRASCO</v>
      </c>
      <c r="F147" s="35">
        <f>'APÊNDICE II-MEMÓRIA DE CÁLCULO'!L148</f>
        <v>24</v>
      </c>
      <c r="G147" s="25" t="s">
        <v>31</v>
      </c>
      <c r="H147" s="54" t="s">
        <v>31</v>
      </c>
      <c r="I147" s="37" t="s">
        <v>31</v>
      </c>
      <c r="J147" s="73" t="s">
        <v>810</v>
      </c>
      <c r="K147" s="66">
        <v>1</v>
      </c>
      <c r="L147" s="67">
        <v>5</v>
      </c>
      <c r="M147" s="63" t="s">
        <v>452</v>
      </c>
      <c r="N147" s="66">
        <v>1</v>
      </c>
      <c r="O147" s="67">
        <v>4.99</v>
      </c>
      <c r="P147" s="68" t="s">
        <v>729</v>
      </c>
      <c r="Q147" s="66">
        <v>1</v>
      </c>
      <c r="R147" s="67">
        <v>3.9</v>
      </c>
      <c r="S147" s="68" t="s">
        <v>728</v>
      </c>
      <c r="T147" s="66">
        <v>1</v>
      </c>
      <c r="U147" s="67">
        <v>3.15</v>
      </c>
      <c r="V147" s="37">
        <f t="shared" si="23"/>
        <v>0.78137698967911995</v>
      </c>
      <c r="W147" s="58">
        <f t="shared" si="24"/>
        <v>0.18342182856317371</v>
      </c>
      <c r="X147" s="23">
        <f>ROUND(SUM(L147*K147,O147*N147,R147*Q147,U147*T147,)/SUM(K147,N147,Q147,T147,),2)</f>
        <v>4.26</v>
      </c>
      <c r="Y147" s="38">
        <f t="shared" si="22"/>
        <v>102.24</v>
      </c>
      <c r="Z147" s="6">
        <f t="shared" si="25"/>
        <v>3.9</v>
      </c>
      <c r="AA147" s="5">
        <f t="shared" si="26"/>
        <v>4.26</v>
      </c>
      <c r="AB147" s="8">
        <f t="shared" si="27"/>
        <v>0.78137698967911995</v>
      </c>
      <c r="AC147" s="7">
        <f t="shared" si="28"/>
        <v>0.18342182856317371</v>
      </c>
      <c r="AD147" s="5"/>
      <c r="AE147" s="5"/>
    </row>
    <row r="148" spans="1:31" ht="111" customHeight="1" x14ac:dyDescent="0.3">
      <c r="A148" s="26">
        <v>144</v>
      </c>
      <c r="B148" s="32">
        <f>'APÊNDICE II-MEMÓRIA DE CÁLCULO'!B149</f>
        <v>12412</v>
      </c>
      <c r="C148" s="33">
        <f>'APÊNDICE II-MEMÓRIA DE CÁLCULO'!C149</f>
        <v>332346</v>
      </c>
      <c r="D148" s="34" t="str">
        <f>'APÊNDICE II-MEMÓRIA DE CÁLCULO'!D149</f>
        <v xml:space="preserve">Indicador químico, classe: 5 - tipo: integrador, tipo uso: interno, apresentação: caixa com pacotes com 250 unidades, características adicionais: integrador em conformidade com ISSO 11140-1, que possibilita a monitorização das condições de esterilização às misturas de gás óxido de etileno, no interior das embalagens, embalagem  constando os dados de identificação e registro em órgão competente. 
</v>
      </c>
      <c r="E148" s="33" t="str">
        <f>'APÊNDICE II-MEMÓRIA DE CÁLCULO'!E149</f>
        <v xml:space="preserve">CAIXA </v>
      </c>
      <c r="F148" s="35">
        <f>'APÊNDICE II-MEMÓRIA DE CÁLCULO'!L149</f>
        <v>48</v>
      </c>
      <c r="G148" s="63" t="s">
        <v>809</v>
      </c>
      <c r="H148" s="64">
        <v>4</v>
      </c>
      <c r="I148" s="67">
        <f>0.41*250</f>
        <v>102.5</v>
      </c>
      <c r="J148" s="73" t="s">
        <v>810</v>
      </c>
      <c r="K148" s="66">
        <v>7</v>
      </c>
      <c r="L148" s="67">
        <f>0.41*250</f>
        <v>102.5</v>
      </c>
      <c r="M148" s="63" t="s">
        <v>498</v>
      </c>
      <c r="N148" s="66">
        <v>1</v>
      </c>
      <c r="O148" s="67">
        <v>90</v>
      </c>
      <c r="P148" s="68" t="s">
        <v>390</v>
      </c>
      <c r="Q148" s="66">
        <v>1</v>
      </c>
      <c r="R148" s="67">
        <v>89</v>
      </c>
      <c r="S148" s="68" t="s">
        <v>351</v>
      </c>
      <c r="T148" s="66">
        <v>1</v>
      </c>
      <c r="U148" s="67">
        <v>89.9</v>
      </c>
      <c r="V148" s="37">
        <f t="shared" si="23"/>
        <v>6.3129707745244623</v>
      </c>
      <c r="W148" s="58">
        <f t="shared" si="24"/>
        <v>6.6606570737755458E-2</v>
      </c>
      <c r="X148" s="23">
        <f>ROUND(SUM(I148*H148,L148*K148,O148*N148,R148*Q148,U148*T148,)/SUM(H148,K148,N148,Q148,T148,),2)</f>
        <v>99.74</v>
      </c>
      <c r="Y148" s="38">
        <f t="shared" si="22"/>
        <v>4787.5199999999995</v>
      </c>
      <c r="Z148" s="6">
        <f t="shared" si="25"/>
        <v>89.95</v>
      </c>
      <c r="AA148" s="5">
        <f t="shared" si="26"/>
        <v>94.78</v>
      </c>
      <c r="AB148" s="8">
        <f t="shared" si="27"/>
        <v>6.3129707745244623</v>
      </c>
      <c r="AC148" s="7">
        <f t="shared" si="28"/>
        <v>6.6606570737755458E-2</v>
      </c>
      <c r="AD148" s="5"/>
      <c r="AE148" s="5"/>
    </row>
    <row r="149" spans="1:31" ht="111" customHeight="1" x14ac:dyDescent="0.3">
      <c r="A149" s="26">
        <v>145</v>
      </c>
      <c r="B149" s="32">
        <f>'APÊNDICE II-MEMÓRIA DE CÁLCULO'!B150</f>
        <v>12413</v>
      </c>
      <c r="C149" s="33" t="str">
        <f>'APÊNDICE II-MEMÓRIA DE CÁLCULO'!C150</f>
        <v>-</v>
      </c>
      <c r="D149" s="34" t="str">
        <f>'APÊNDICE II-MEMÓRIA DE CÁLCULO'!D150</f>
        <v>Imobilizador apoio lateral de cabeça - material: polietileno de alta densidade e revestido com espuma macia tipo EVA, dimensões: 25 cm x 0,9 cm x 16 cm, características adicionais: fixador exclusivo na região frontal, regulagem em velcro, possui cintos imobilizadores reguláveis, registro em órgão competente.</v>
      </c>
      <c r="E149" s="33" t="str">
        <f>'APÊNDICE II-MEMÓRIA DE CÁLCULO'!E150</f>
        <v>UNIDADE</v>
      </c>
      <c r="F149" s="35">
        <f>'APÊNDICE II-MEMÓRIA DE CÁLCULO'!L150</f>
        <v>3</v>
      </c>
      <c r="G149" s="63" t="s">
        <v>809</v>
      </c>
      <c r="H149" s="64">
        <v>1</v>
      </c>
      <c r="I149" s="67">
        <v>160</v>
      </c>
      <c r="J149" s="56" t="s">
        <v>31</v>
      </c>
      <c r="K149" s="55" t="s">
        <v>31</v>
      </c>
      <c r="L149" s="37" t="s">
        <v>31</v>
      </c>
      <c r="M149" s="63" t="s">
        <v>453</v>
      </c>
      <c r="N149" s="66">
        <v>1</v>
      </c>
      <c r="O149" s="67">
        <v>207.75</v>
      </c>
      <c r="P149" s="68" t="s">
        <v>354</v>
      </c>
      <c r="Q149" s="66">
        <v>1</v>
      </c>
      <c r="R149" s="67">
        <v>208.8</v>
      </c>
      <c r="S149" s="68" t="s">
        <v>364</v>
      </c>
      <c r="T149" s="66">
        <v>1</v>
      </c>
      <c r="U149" s="67">
        <v>189.4</v>
      </c>
      <c r="V149" s="37">
        <f t="shared" si="23"/>
        <v>19.748492822238521</v>
      </c>
      <c r="W149" s="58">
        <f t="shared" si="24"/>
        <v>0.10313202074411397</v>
      </c>
      <c r="X149" s="23">
        <f>ROUND(SUM(I149*H149,O149*N149,R149*Q149,U149*T149,)/SUM(H149,N149,Q149,T149,),2)</f>
        <v>191.49</v>
      </c>
      <c r="Y149" s="38">
        <f t="shared" si="22"/>
        <v>574.47</v>
      </c>
      <c r="Z149" s="6">
        <f t="shared" si="25"/>
        <v>189.4</v>
      </c>
      <c r="AA149" s="5">
        <f t="shared" si="26"/>
        <v>191.48749999999998</v>
      </c>
      <c r="AB149" s="8">
        <f t="shared" si="27"/>
        <v>19.748492822238521</v>
      </c>
      <c r="AC149" s="7">
        <f t="shared" si="28"/>
        <v>0.10313202074411397</v>
      </c>
      <c r="AD149" s="5"/>
      <c r="AE149" s="5"/>
    </row>
    <row r="150" spans="1:31" ht="111" customHeight="1" x14ac:dyDescent="0.3">
      <c r="A150" s="26">
        <v>146</v>
      </c>
      <c r="B150" s="32">
        <f>'APÊNDICE II-MEMÓRIA DE CÁLCULO'!B151</f>
        <v>12414</v>
      </c>
      <c r="C150" s="33">
        <f>'APÊNDICE II-MEMÓRIA DE CÁLCULO'!C151</f>
        <v>398705</v>
      </c>
      <c r="D150" s="34" t="str">
        <f>'APÊNDICE II-MEMÓRIA DE CÁLCULO'!D151</f>
        <v>Iodopovidona (Pvpi), 1000ml - forma farmacêutica: solução degermante, concentração: a 10%, características adicionais: Iodo disponível associado a lauril éter sulfato de sódio. Embalagem cor âmbar contendo externamente dados de identificação e procedência, lote, prazo de validade e registro em órgão competente.</v>
      </c>
      <c r="E150" s="33" t="str">
        <f>'APÊNDICE II-MEMÓRIA DE CÁLCULO'!E151</f>
        <v>FRASCO</v>
      </c>
      <c r="F150" s="35">
        <f>'APÊNDICE II-MEMÓRIA DE CÁLCULO'!L151</f>
        <v>48</v>
      </c>
      <c r="G150" s="63" t="s">
        <v>809</v>
      </c>
      <c r="H150" s="64">
        <v>6</v>
      </c>
      <c r="I150" s="67">
        <v>37.79</v>
      </c>
      <c r="J150" s="73" t="s">
        <v>810</v>
      </c>
      <c r="K150" s="66">
        <v>6</v>
      </c>
      <c r="L150" s="67">
        <v>40.28</v>
      </c>
      <c r="M150" s="63" t="s">
        <v>454</v>
      </c>
      <c r="N150" s="66">
        <v>1</v>
      </c>
      <c r="O150" s="67">
        <v>46.45</v>
      </c>
      <c r="P150" s="68" t="s">
        <v>836</v>
      </c>
      <c r="Q150" s="66">
        <v>1</v>
      </c>
      <c r="R150" s="67">
        <v>64.94</v>
      </c>
      <c r="S150" s="68" t="s">
        <v>380</v>
      </c>
      <c r="T150" s="66">
        <v>1</v>
      </c>
      <c r="U150" s="67">
        <v>61.9</v>
      </c>
      <c r="V150" s="37">
        <f t="shared" si="23"/>
        <v>11.140993492503238</v>
      </c>
      <c r="W150" s="58">
        <f t="shared" si="24"/>
        <v>0.22161428812267736</v>
      </c>
      <c r="X150" s="23">
        <f t="shared" ref="X150:X157" si="29">ROUND(SUM(I150*H150,L150*K150,O150*N150,R150*Q150,U150*T150,)/SUM(H150,K150,N150,Q150,T150,),2)</f>
        <v>42.78</v>
      </c>
      <c r="Y150" s="38">
        <f t="shared" si="22"/>
        <v>2053.44</v>
      </c>
      <c r="Z150" s="6">
        <f t="shared" si="25"/>
        <v>43.365000000000002</v>
      </c>
      <c r="AA150" s="5">
        <f t="shared" si="26"/>
        <v>50.272000000000006</v>
      </c>
      <c r="AB150" s="8">
        <f t="shared" si="27"/>
        <v>11.140993492503238</v>
      </c>
      <c r="AC150" s="7">
        <f t="shared" si="28"/>
        <v>0.22161428812267736</v>
      </c>
      <c r="AD150" s="5"/>
      <c r="AE150" s="5"/>
    </row>
    <row r="151" spans="1:31" ht="111" customHeight="1" x14ac:dyDescent="0.3">
      <c r="A151" s="26">
        <v>147</v>
      </c>
      <c r="B151" s="32">
        <f>'APÊNDICE II-MEMÓRIA DE CÁLCULO'!B152</f>
        <v>12415</v>
      </c>
      <c r="C151" s="33">
        <f>'APÊNDICE II-MEMÓRIA DE CÁLCULO'!C152</f>
        <v>454560</v>
      </c>
      <c r="D151" s="34" t="str">
        <f>'APÊNDICE II-MEMÓRIA DE CÁLCULO'!D152</f>
        <v>Kit para nebulização - tamanho: adulto, características: conjunto para nebulização composta por máscara facial, traqueia com 1,50m com parede interna lisa, reservatório com capacidade para 50ml.</v>
      </c>
      <c r="E151" s="33" t="str">
        <f>'APÊNDICE II-MEMÓRIA DE CÁLCULO'!E152</f>
        <v>UNIDADE</v>
      </c>
      <c r="F151" s="35">
        <f>'APÊNDICE II-MEMÓRIA DE CÁLCULO'!L152</f>
        <v>50</v>
      </c>
      <c r="G151" s="63" t="s">
        <v>809</v>
      </c>
      <c r="H151" s="64">
        <v>1</v>
      </c>
      <c r="I151" s="67">
        <v>5.5</v>
      </c>
      <c r="J151" s="73" t="s">
        <v>810</v>
      </c>
      <c r="K151" s="66">
        <v>1</v>
      </c>
      <c r="L151" s="67">
        <v>10</v>
      </c>
      <c r="M151" s="63" t="s">
        <v>587</v>
      </c>
      <c r="N151" s="66">
        <v>1</v>
      </c>
      <c r="O151" s="67">
        <v>5.9</v>
      </c>
      <c r="P151" s="68" t="s">
        <v>730</v>
      </c>
      <c r="Q151" s="66">
        <v>1</v>
      </c>
      <c r="R151" s="67">
        <v>8.5</v>
      </c>
      <c r="S151" s="68" t="s">
        <v>381</v>
      </c>
      <c r="T151" s="66">
        <v>1</v>
      </c>
      <c r="U151" s="67">
        <v>8.64</v>
      </c>
      <c r="V151" s="37">
        <f t="shared" si="23"/>
        <v>1.7258783271134759</v>
      </c>
      <c r="W151" s="58">
        <f t="shared" si="24"/>
        <v>0.22390741140548467</v>
      </c>
      <c r="X151" s="23">
        <f t="shared" si="29"/>
        <v>7.71</v>
      </c>
      <c r="Y151" s="38">
        <f t="shared" si="22"/>
        <v>385.5</v>
      </c>
      <c r="Z151" s="6">
        <f t="shared" si="25"/>
        <v>7.2</v>
      </c>
      <c r="AA151" s="5">
        <f t="shared" si="26"/>
        <v>7.7080000000000002</v>
      </c>
      <c r="AB151" s="8">
        <f t="shared" si="27"/>
        <v>1.7258783271134759</v>
      </c>
      <c r="AC151" s="7">
        <f t="shared" si="28"/>
        <v>0.22390741140548467</v>
      </c>
      <c r="AD151" s="5"/>
      <c r="AE151" s="5"/>
    </row>
    <row r="152" spans="1:31" ht="111" customHeight="1" x14ac:dyDescent="0.3">
      <c r="A152" s="26">
        <v>148</v>
      </c>
      <c r="B152" s="32">
        <f>'APÊNDICE II-MEMÓRIA DE CÁLCULO'!B153</f>
        <v>12416</v>
      </c>
      <c r="C152" s="33">
        <f>'APÊNDICE II-MEMÓRIA DE CÁLCULO'!C153</f>
        <v>454561</v>
      </c>
      <c r="D152" s="34" t="str">
        <f>'APÊNDICE II-MEMÓRIA DE CÁLCULO'!D153</f>
        <v>Kit para nebulização - tamanho: infantil, características: conjunto para nebulização composta por máscara facial, traqueia com 1,50m com parede interna lisa, reservatório com capacidade para 50ml.</v>
      </c>
      <c r="E152" s="33" t="str">
        <f>'APÊNDICE II-MEMÓRIA DE CÁLCULO'!E153</f>
        <v>UNIDADE</v>
      </c>
      <c r="F152" s="35">
        <f>'APÊNDICE II-MEMÓRIA DE CÁLCULO'!L153</f>
        <v>50</v>
      </c>
      <c r="G152" s="63" t="s">
        <v>809</v>
      </c>
      <c r="H152" s="64">
        <v>1</v>
      </c>
      <c r="I152" s="67">
        <v>5.5</v>
      </c>
      <c r="J152" s="73" t="s">
        <v>810</v>
      </c>
      <c r="K152" s="66">
        <v>1</v>
      </c>
      <c r="L152" s="67">
        <v>9.0299999999999994</v>
      </c>
      <c r="M152" s="63" t="s">
        <v>588</v>
      </c>
      <c r="N152" s="66">
        <v>1</v>
      </c>
      <c r="O152" s="67">
        <v>5.9</v>
      </c>
      <c r="P152" s="68" t="s">
        <v>730</v>
      </c>
      <c r="Q152" s="66">
        <v>1</v>
      </c>
      <c r="R152" s="67">
        <v>8.5</v>
      </c>
      <c r="S152" s="68" t="s">
        <v>689</v>
      </c>
      <c r="T152" s="66">
        <v>1</v>
      </c>
      <c r="U152" s="67">
        <v>8.9</v>
      </c>
      <c r="V152" s="37">
        <f t="shared" si="23"/>
        <v>1.5387735375941454</v>
      </c>
      <c r="W152" s="58">
        <f t="shared" si="24"/>
        <v>0.20338006048032586</v>
      </c>
      <c r="X152" s="23">
        <f t="shared" si="29"/>
        <v>7.57</v>
      </c>
      <c r="Y152" s="38">
        <f t="shared" si="22"/>
        <v>378.5</v>
      </c>
      <c r="Z152" s="6">
        <f t="shared" si="25"/>
        <v>7.2</v>
      </c>
      <c r="AA152" s="5">
        <f t="shared" si="26"/>
        <v>7.5659999999999998</v>
      </c>
      <c r="AB152" s="8">
        <f t="shared" si="27"/>
        <v>1.5387735375941454</v>
      </c>
      <c r="AC152" s="7">
        <f t="shared" si="28"/>
        <v>0.20338006048032586</v>
      </c>
      <c r="AD152" s="5"/>
      <c r="AE152" s="5"/>
    </row>
    <row r="153" spans="1:31" ht="153" customHeight="1" x14ac:dyDescent="0.3">
      <c r="A153" s="26">
        <v>149</v>
      </c>
      <c r="B153" s="32">
        <f>'APÊNDICE II-MEMÓRIA DE CÁLCULO'!B154</f>
        <v>12417</v>
      </c>
      <c r="C153" s="33" t="str">
        <f>'APÊNDICE II-MEMÓRIA DE CÁLCULO'!C154</f>
        <v>-</v>
      </c>
      <c r="D153" s="34" t="str">
        <f>'APÊNDICE II-MEMÓRIA DE CÁLCULO'!D154</f>
        <v xml:space="preserve">Kit máscara de venturi - tamanho: adulto,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v>
      </c>
      <c r="E153" s="33" t="str">
        <f>'APÊNDICE II-MEMÓRIA DE CÁLCULO'!E154</f>
        <v>KIT</v>
      </c>
      <c r="F153" s="35">
        <f>'APÊNDICE II-MEMÓRIA DE CÁLCULO'!L154</f>
        <v>50</v>
      </c>
      <c r="G153" s="63" t="s">
        <v>809</v>
      </c>
      <c r="H153" s="64">
        <v>1</v>
      </c>
      <c r="I153" s="67">
        <v>25.44</v>
      </c>
      <c r="J153" s="73" t="s">
        <v>810</v>
      </c>
      <c r="K153" s="66">
        <v>1</v>
      </c>
      <c r="L153" s="67">
        <v>23</v>
      </c>
      <c r="M153" s="63" t="s">
        <v>522</v>
      </c>
      <c r="N153" s="66">
        <v>1</v>
      </c>
      <c r="O153" s="67">
        <v>25.79</v>
      </c>
      <c r="P153" s="68" t="s">
        <v>364</v>
      </c>
      <c r="Q153" s="66">
        <v>1</v>
      </c>
      <c r="R153" s="67">
        <v>29.19</v>
      </c>
      <c r="S153" s="68" t="s">
        <v>354</v>
      </c>
      <c r="T153" s="66">
        <v>1</v>
      </c>
      <c r="U153" s="67">
        <v>27.58</v>
      </c>
      <c r="V153" s="37">
        <f t="shared" si="23"/>
        <v>2.0895071189158463</v>
      </c>
      <c r="W153" s="58">
        <f t="shared" si="24"/>
        <v>7.9752180111291843E-2</v>
      </c>
      <c r="X153" s="23">
        <f t="shared" si="29"/>
        <v>26.2</v>
      </c>
      <c r="Y153" s="38">
        <f t="shared" si="22"/>
        <v>1310</v>
      </c>
      <c r="Z153" s="6">
        <f t="shared" si="25"/>
        <v>25.615000000000002</v>
      </c>
      <c r="AA153" s="5">
        <f t="shared" si="26"/>
        <v>26.2</v>
      </c>
      <c r="AB153" s="8">
        <f t="shared" si="27"/>
        <v>2.0895071189158463</v>
      </c>
      <c r="AC153" s="7">
        <f t="shared" si="28"/>
        <v>7.9752180111291843E-2</v>
      </c>
      <c r="AD153" s="5"/>
      <c r="AE153" s="5"/>
    </row>
    <row r="154" spans="1:31" ht="153" customHeight="1" x14ac:dyDescent="0.3">
      <c r="A154" s="26">
        <v>150</v>
      </c>
      <c r="B154" s="32">
        <f>'APÊNDICE II-MEMÓRIA DE CÁLCULO'!B155</f>
        <v>12418</v>
      </c>
      <c r="C154" s="33" t="str">
        <f>'APÊNDICE II-MEMÓRIA DE CÁLCULO'!C155</f>
        <v>-</v>
      </c>
      <c r="D154" s="34" t="str">
        <f>'APÊNDICE II-MEMÓRIA DE CÁLCULO'!D155</f>
        <v xml:space="preserve">Kit máscara de venturi - tamanho: infantil, material: PVC leitoso com umidificador e máscara em PVC rígido, características adicionais: para uso contínuo de oxigênio medicinal, e adaptador para uso com umidificador, acompanha copo resistente para auxiliar no uso de medicamentos com a função de umidificar a inalação, itens inclusos: 01 máscara para nebulização com adaptador, 1 metro de mangueira e 01 frascos de umidificador com capacidade para 250ml. Embalagem constando externamente identificação, procedência, data de fabricação, prazo de validade e registro em órgão competente. </v>
      </c>
      <c r="E154" s="33" t="str">
        <f>'APÊNDICE II-MEMÓRIA DE CÁLCULO'!E155</f>
        <v>KIT</v>
      </c>
      <c r="F154" s="35">
        <f>'APÊNDICE II-MEMÓRIA DE CÁLCULO'!L155</f>
        <v>50</v>
      </c>
      <c r="G154" s="63" t="s">
        <v>809</v>
      </c>
      <c r="H154" s="64">
        <v>1</v>
      </c>
      <c r="I154" s="67">
        <v>25.44</v>
      </c>
      <c r="J154" s="73" t="s">
        <v>810</v>
      </c>
      <c r="K154" s="66">
        <v>1</v>
      </c>
      <c r="L154" s="67">
        <v>31.32</v>
      </c>
      <c r="M154" s="63" t="s">
        <v>523</v>
      </c>
      <c r="N154" s="66">
        <v>1</v>
      </c>
      <c r="O154" s="67">
        <v>2.4</v>
      </c>
      <c r="P154" s="68" t="s">
        <v>364</v>
      </c>
      <c r="Q154" s="66">
        <v>1</v>
      </c>
      <c r="R154" s="67">
        <v>29.19</v>
      </c>
      <c r="S154" s="68" t="s">
        <v>731</v>
      </c>
      <c r="T154" s="66">
        <v>1</v>
      </c>
      <c r="U154" s="67">
        <v>21.9</v>
      </c>
      <c r="V154" s="37">
        <f t="shared" si="23"/>
        <v>10.33972533484328</v>
      </c>
      <c r="W154" s="58">
        <f t="shared" si="24"/>
        <v>0.46892178389311923</v>
      </c>
      <c r="X154" s="23">
        <f t="shared" si="29"/>
        <v>22.05</v>
      </c>
      <c r="Y154" s="38">
        <f t="shared" si="22"/>
        <v>1102.5</v>
      </c>
      <c r="Z154" s="6">
        <f t="shared" si="25"/>
        <v>23.67</v>
      </c>
      <c r="AA154" s="5">
        <f t="shared" si="26"/>
        <v>22.05</v>
      </c>
      <c r="AB154" s="8">
        <f t="shared" si="27"/>
        <v>10.33972533484328</v>
      </c>
      <c r="AC154" s="7">
        <f t="shared" si="28"/>
        <v>0.46892178389311923</v>
      </c>
      <c r="AD154" s="5"/>
      <c r="AE154" s="5"/>
    </row>
    <row r="155" spans="1:31" ht="111" customHeight="1" x14ac:dyDescent="0.3">
      <c r="A155" s="26">
        <v>151</v>
      </c>
      <c r="B155" s="32">
        <f>'APÊNDICE II-MEMÓRIA DE CÁLCULO'!B156</f>
        <v>12419</v>
      </c>
      <c r="C155" s="33">
        <f>'APÊNDICE II-MEMÓRIA DE CÁLCULO'!C156</f>
        <v>405738</v>
      </c>
      <c r="D155" s="34" t="str">
        <f>'APÊNDICE II-MEMÓRIA DE CÁLCULO'!D156</f>
        <v>Kit completo para a realização do exame papanicolau - tamanho: P, características adicionais: não estéril, kit contendo 1 espátula de Ayres, 1 escova cervical, 1 lâmina de vidro, 1 caixa porta-lâminas, 1 par de luvas e 1 espéculo tamanho P.</v>
      </c>
      <c r="E155" s="33" t="str">
        <f>'APÊNDICE II-MEMÓRIA DE CÁLCULO'!E156</f>
        <v>UNIDADE</v>
      </c>
      <c r="F155" s="35">
        <f>'APÊNDICE II-MEMÓRIA DE CÁLCULO'!L156</f>
        <v>500</v>
      </c>
      <c r="G155" s="63" t="s">
        <v>809</v>
      </c>
      <c r="H155" s="64">
        <v>1</v>
      </c>
      <c r="I155" s="67">
        <v>2.99</v>
      </c>
      <c r="J155" s="73" t="s">
        <v>810</v>
      </c>
      <c r="K155" s="66">
        <v>1</v>
      </c>
      <c r="L155" s="67">
        <v>3.78</v>
      </c>
      <c r="M155" s="63" t="s">
        <v>589</v>
      </c>
      <c r="N155" s="66">
        <v>1</v>
      </c>
      <c r="O155" s="67">
        <v>3.08</v>
      </c>
      <c r="P155" s="68" t="s">
        <v>354</v>
      </c>
      <c r="Q155" s="66">
        <v>1</v>
      </c>
      <c r="R155" s="67">
        <v>3.45</v>
      </c>
      <c r="S155" s="68" t="s">
        <v>732</v>
      </c>
      <c r="T155" s="66">
        <v>1</v>
      </c>
      <c r="U155" s="67">
        <v>4.9000000000000004</v>
      </c>
      <c r="V155" s="37">
        <f t="shared" si="23"/>
        <v>0.68984056128934912</v>
      </c>
      <c r="W155" s="58">
        <f t="shared" si="24"/>
        <v>0.18951663771685417</v>
      </c>
      <c r="X155" s="23">
        <f t="shared" si="29"/>
        <v>3.64</v>
      </c>
      <c r="Y155" s="38">
        <f t="shared" si="22"/>
        <v>1820</v>
      </c>
      <c r="Z155" s="6">
        <f t="shared" si="25"/>
        <v>3.2650000000000001</v>
      </c>
      <c r="AA155" s="5">
        <f t="shared" si="26"/>
        <v>3.6399999999999997</v>
      </c>
      <c r="AB155" s="8">
        <f t="shared" si="27"/>
        <v>0.68984056128934912</v>
      </c>
      <c r="AC155" s="7">
        <f t="shared" si="28"/>
        <v>0.18951663771685417</v>
      </c>
      <c r="AD155" s="5"/>
      <c r="AE155" s="5"/>
    </row>
    <row r="156" spans="1:31" ht="111" customHeight="1" x14ac:dyDescent="0.3">
      <c r="A156" s="26">
        <v>152</v>
      </c>
      <c r="B156" s="32">
        <f>'APÊNDICE II-MEMÓRIA DE CÁLCULO'!B157</f>
        <v>12420</v>
      </c>
      <c r="C156" s="33">
        <f>'APÊNDICE II-MEMÓRIA DE CÁLCULO'!C157</f>
        <v>405739</v>
      </c>
      <c r="D156" s="34" t="str">
        <f>'APÊNDICE II-MEMÓRIA DE CÁLCULO'!D157</f>
        <v>Kit completo para a realização do exame papanicolau - tamanho: M, características adicionais: não estéril, kit contendo 1 espátula de Ayres, 1 escova cervical, 1 lâmina de vidro, 1 caixa porta-lâminas, 1 par de luvas e 1 espéculo tamanho M.</v>
      </c>
      <c r="E156" s="33" t="str">
        <f>'APÊNDICE II-MEMÓRIA DE CÁLCULO'!E157</f>
        <v>UNIDADE</v>
      </c>
      <c r="F156" s="35">
        <f>'APÊNDICE II-MEMÓRIA DE CÁLCULO'!L157</f>
        <v>2500</v>
      </c>
      <c r="G156" s="63" t="s">
        <v>809</v>
      </c>
      <c r="H156" s="64">
        <v>1</v>
      </c>
      <c r="I156" s="67">
        <v>5</v>
      </c>
      <c r="J156" s="73" t="s">
        <v>810</v>
      </c>
      <c r="K156" s="66">
        <v>5</v>
      </c>
      <c r="L156" s="67">
        <v>5.1100000000000003</v>
      </c>
      <c r="M156" s="63" t="s">
        <v>590</v>
      </c>
      <c r="N156" s="66">
        <v>1</v>
      </c>
      <c r="O156" s="67">
        <v>3.21</v>
      </c>
      <c r="P156" s="68" t="s">
        <v>703</v>
      </c>
      <c r="Q156" s="66">
        <v>1</v>
      </c>
      <c r="R156" s="67">
        <v>5</v>
      </c>
      <c r="S156" s="68" t="s">
        <v>354</v>
      </c>
      <c r="T156" s="66">
        <v>1</v>
      </c>
      <c r="U156" s="67">
        <v>3.45</v>
      </c>
      <c r="V156" s="37">
        <f t="shared" si="23"/>
        <v>0.84049033307944687</v>
      </c>
      <c r="W156" s="58">
        <f t="shared" si="24"/>
        <v>0.1930386617086465</v>
      </c>
      <c r="X156" s="23">
        <f t="shared" si="29"/>
        <v>4.6900000000000004</v>
      </c>
      <c r="Y156" s="38">
        <f t="shared" si="22"/>
        <v>11725.000000000002</v>
      </c>
      <c r="Z156" s="6">
        <f t="shared" si="25"/>
        <v>4.2249999999999996</v>
      </c>
      <c r="AA156" s="5">
        <f t="shared" si="26"/>
        <v>4.3540000000000001</v>
      </c>
      <c r="AB156" s="8">
        <f t="shared" si="27"/>
        <v>0.84049033307944687</v>
      </c>
      <c r="AC156" s="7">
        <f t="shared" si="28"/>
        <v>0.1930386617086465</v>
      </c>
      <c r="AD156" s="5"/>
      <c r="AE156" s="5"/>
    </row>
    <row r="157" spans="1:31" ht="111" customHeight="1" x14ac:dyDescent="0.3">
      <c r="A157" s="26">
        <v>153</v>
      </c>
      <c r="B157" s="32">
        <f>'APÊNDICE II-MEMÓRIA DE CÁLCULO'!B158</f>
        <v>12421</v>
      </c>
      <c r="C157" s="33">
        <f>'APÊNDICE II-MEMÓRIA DE CÁLCULO'!C158</f>
        <v>405740</v>
      </c>
      <c r="D157" s="34" t="str">
        <f>'APÊNDICE II-MEMÓRIA DE CÁLCULO'!D158</f>
        <v>Kit completo para a realização do exame papanicolau - tamanho: G, características adicionais: não estéril, kit contendo 1 espátula de Ayres, 1 escova cervical, 1 lâmina de vidro, 1 caixa porta-lâminas, 1 par de luvas e 1 espéculo tamanho G.</v>
      </c>
      <c r="E157" s="33" t="str">
        <f>'APÊNDICE II-MEMÓRIA DE CÁLCULO'!E158</f>
        <v>UNIDADE</v>
      </c>
      <c r="F157" s="35">
        <f>'APÊNDICE II-MEMÓRIA DE CÁLCULO'!L158</f>
        <v>400</v>
      </c>
      <c r="G157" s="63" t="s">
        <v>809</v>
      </c>
      <c r="H157" s="64">
        <v>1</v>
      </c>
      <c r="I157" s="67">
        <v>3.9</v>
      </c>
      <c r="J157" s="73" t="s">
        <v>810</v>
      </c>
      <c r="K157" s="66">
        <v>1</v>
      </c>
      <c r="L157" s="67">
        <v>5.59</v>
      </c>
      <c r="M157" s="63" t="s">
        <v>591</v>
      </c>
      <c r="N157" s="66">
        <v>1</v>
      </c>
      <c r="O157" s="67">
        <v>3.41</v>
      </c>
      <c r="P157" s="68" t="s">
        <v>395</v>
      </c>
      <c r="Q157" s="66">
        <v>1</v>
      </c>
      <c r="R157" s="67">
        <v>4.93</v>
      </c>
      <c r="S157" s="68" t="s">
        <v>733</v>
      </c>
      <c r="T157" s="66">
        <v>1</v>
      </c>
      <c r="U157" s="67">
        <v>4.25</v>
      </c>
      <c r="V157" s="37">
        <f t="shared" si="23"/>
        <v>0.76789582626811803</v>
      </c>
      <c r="W157" s="58">
        <f t="shared" si="24"/>
        <v>0.17388945341216439</v>
      </c>
      <c r="X157" s="23">
        <f t="shared" si="29"/>
        <v>4.42</v>
      </c>
      <c r="Y157" s="38">
        <f t="shared" si="22"/>
        <v>1768</v>
      </c>
      <c r="Z157" s="6">
        <f t="shared" si="25"/>
        <v>4.0750000000000002</v>
      </c>
      <c r="AA157" s="5">
        <f t="shared" si="26"/>
        <v>4.4160000000000004</v>
      </c>
      <c r="AB157" s="8">
        <f t="shared" si="27"/>
        <v>0.76789582626811803</v>
      </c>
      <c r="AC157" s="7">
        <f t="shared" si="28"/>
        <v>0.17388945341216439</v>
      </c>
      <c r="AD157" s="5"/>
      <c r="AE157" s="5"/>
    </row>
    <row r="158" spans="1:31" ht="111" customHeight="1" x14ac:dyDescent="0.3">
      <c r="A158" s="26">
        <v>154</v>
      </c>
      <c r="B158" s="32">
        <f>'APÊNDICE II-MEMÓRIA DE CÁLCULO'!B159</f>
        <v>12571</v>
      </c>
      <c r="C158" s="33">
        <f>'APÊNDICE II-MEMÓRIA DE CÁLCULO'!C159</f>
        <v>444151</v>
      </c>
      <c r="D158" s="34" t="str">
        <f>'APÊNDICE II-MEMÓRIA DE CÁLCULO'!D159</f>
        <v xml:space="preserve">Frasco Coleta de 100ml - Fechamento hermético, estéril por radiação UV, comprimido conservante de tiossulfato de sódio (10mg), tampa e frasco livres de fluorescência, com invólucro de plástico; graduado; cor transparente. validade de no mínimo 1 (um) ano. 
</v>
      </c>
      <c r="E158" s="33" t="str">
        <f>'APÊNDICE II-MEMÓRIA DE CÁLCULO'!E159</f>
        <v>FRASCO</v>
      </c>
      <c r="F158" s="35">
        <f>'APÊNDICE II-MEMÓRIA DE CÁLCULO'!L159</f>
        <v>240</v>
      </c>
      <c r="G158" s="63" t="s">
        <v>809</v>
      </c>
      <c r="H158" s="64">
        <v>1</v>
      </c>
      <c r="I158" s="67">
        <v>4.9800000000000004</v>
      </c>
      <c r="J158" s="73" t="s">
        <v>810</v>
      </c>
      <c r="K158" s="66">
        <v>1</v>
      </c>
      <c r="L158" s="67">
        <v>6.12</v>
      </c>
      <c r="M158" s="63" t="s">
        <v>449</v>
      </c>
      <c r="N158" s="66">
        <v>1</v>
      </c>
      <c r="O158" s="67">
        <v>4.68</v>
      </c>
      <c r="P158" s="68" t="s">
        <v>826</v>
      </c>
      <c r="Q158" s="66">
        <v>1</v>
      </c>
      <c r="R158" s="67">
        <f>39.9/10</f>
        <v>3.9899999999999998</v>
      </c>
      <c r="S158" s="40" t="s">
        <v>31</v>
      </c>
      <c r="T158" s="55" t="s">
        <v>31</v>
      </c>
      <c r="U158" s="37" t="s">
        <v>31</v>
      </c>
      <c r="V158" s="37">
        <f t="shared" si="23"/>
        <v>0.76877743853471658</v>
      </c>
      <c r="W158" s="58">
        <f t="shared" si="24"/>
        <v>0.15554424654217838</v>
      </c>
      <c r="X158" s="23">
        <f>ROUND(SUM(I158*H158,L158*K158,O158*N158,R158*Q158,)/SUM(H158,K158,N158,Q158,),2)</f>
        <v>4.9400000000000004</v>
      </c>
      <c r="Y158" s="38">
        <f t="shared" si="22"/>
        <v>1185.6000000000001</v>
      </c>
      <c r="Z158" s="6">
        <f t="shared" si="25"/>
        <v>4.68</v>
      </c>
      <c r="AA158" s="5">
        <f t="shared" si="26"/>
        <v>4.9424999999999999</v>
      </c>
      <c r="AB158" s="8">
        <f t="shared" si="27"/>
        <v>0.76877743853471658</v>
      </c>
      <c r="AC158" s="7">
        <f t="shared" si="28"/>
        <v>0.15554424654217838</v>
      </c>
      <c r="AD158" s="5"/>
      <c r="AE158" s="5"/>
    </row>
    <row r="159" spans="1:31" ht="111" customHeight="1" x14ac:dyDescent="0.3">
      <c r="A159" s="26">
        <v>155</v>
      </c>
      <c r="B159" s="32">
        <f>'APÊNDICE II-MEMÓRIA DE CÁLCULO'!B160</f>
        <v>12423</v>
      </c>
      <c r="C159" s="33" t="str">
        <f>'APÊNDICE II-MEMÓRIA DE CÁLCULO'!C160</f>
        <v>-</v>
      </c>
      <c r="D159" s="34" t="str">
        <f>'APÊNDICE II-MEMÓRIA DE CÁLCULO'!D160</f>
        <v xml:space="preserve">Equipo macrogotas fotossensível - medindo 1,50m, câmara gotejadora padrão macro gotas (1 ml = 20 gotas/ minuto). Utilizado para administração de medicamentos sensíveis a luz.
</v>
      </c>
      <c r="E159" s="33" t="str">
        <f>'APÊNDICE II-MEMÓRIA DE CÁLCULO'!E160</f>
        <v>UNIDADE</v>
      </c>
      <c r="F159" s="35">
        <f>'APÊNDICE II-MEMÓRIA DE CÁLCULO'!L160</f>
        <v>2863</v>
      </c>
      <c r="G159" s="63" t="s">
        <v>809</v>
      </c>
      <c r="H159" s="64">
        <v>1</v>
      </c>
      <c r="I159" s="67">
        <v>4.5999999999999996</v>
      </c>
      <c r="J159" s="56" t="s">
        <v>31</v>
      </c>
      <c r="K159" s="55" t="s">
        <v>31</v>
      </c>
      <c r="L159" s="37" t="s">
        <v>31</v>
      </c>
      <c r="M159" s="63" t="s">
        <v>592</v>
      </c>
      <c r="N159" s="66">
        <v>1</v>
      </c>
      <c r="O159" s="67">
        <v>4.7699999999999996</v>
      </c>
      <c r="P159" s="68" t="s">
        <v>720</v>
      </c>
      <c r="Q159" s="66">
        <v>1</v>
      </c>
      <c r="R159" s="67">
        <v>5.6</v>
      </c>
      <c r="S159" s="68" t="s">
        <v>685</v>
      </c>
      <c r="T159" s="66">
        <v>1</v>
      </c>
      <c r="U159" s="67">
        <v>4.76</v>
      </c>
      <c r="V159" s="37">
        <f t="shared" si="23"/>
        <v>0.39124001584705009</v>
      </c>
      <c r="W159" s="58">
        <f t="shared" si="24"/>
        <v>7.9318807064784627E-2</v>
      </c>
      <c r="X159" s="23">
        <f>ROUND(SUM(I159*H159,O159*N159,R159*Q159,U159*T159,)/SUM(H159,N159,Q159,T159,),2)</f>
        <v>4.93</v>
      </c>
      <c r="Y159" s="38">
        <f t="shared" si="22"/>
        <v>14114.589999999998</v>
      </c>
      <c r="Z159" s="6">
        <f t="shared" si="25"/>
        <v>4.76</v>
      </c>
      <c r="AA159" s="5">
        <f t="shared" si="26"/>
        <v>4.9324999999999992</v>
      </c>
      <c r="AB159" s="8">
        <f t="shared" si="27"/>
        <v>0.39124001584705009</v>
      </c>
      <c r="AC159" s="7">
        <f t="shared" si="28"/>
        <v>7.9318807064784627E-2</v>
      </c>
      <c r="AD159" s="5"/>
      <c r="AE159" s="5"/>
    </row>
    <row r="160" spans="1:31" ht="111" customHeight="1" x14ac:dyDescent="0.3">
      <c r="A160" s="26">
        <v>156</v>
      </c>
      <c r="B160" s="32">
        <f>'APÊNDICE II-MEMÓRIA DE CÁLCULO'!B161</f>
        <v>12424</v>
      </c>
      <c r="C160" s="33" t="str">
        <f>'APÊNDICE II-MEMÓRIA DE CÁLCULO'!C161</f>
        <v>-</v>
      </c>
      <c r="D160" s="34" t="str">
        <f>'APÊNDICE II-MEMÓRIA DE CÁLCULO'!D161</f>
        <v>Lanceta, tipo: descartável - tamanho: 28G, tipo: trifacetada, material: agulha de aço inoxidável, características adicionais: com dispositivo de segurança, estéril, segurança atendendo a norma NR32 aprovada pela portaria MTE 485 de 11/11/2005. Embalagem contendo externamente dados de identificação e procedência, lote e registro em órgão competente.</v>
      </c>
      <c r="E160" s="33" t="str">
        <f>'APÊNDICE II-MEMÓRIA DE CÁLCULO'!E161</f>
        <v>UNIDADE</v>
      </c>
      <c r="F160" s="35">
        <f>'APÊNDICE II-MEMÓRIA DE CÁLCULO'!L161</f>
        <v>40900</v>
      </c>
      <c r="G160" s="63" t="s">
        <v>809</v>
      </c>
      <c r="H160" s="64">
        <v>13</v>
      </c>
      <c r="I160" s="67">
        <v>0.1</v>
      </c>
      <c r="J160" s="73" t="s">
        <v>810</v>
      </c>
      <c r="K160" s="66">
        <v>4</v>
      </c>
      <c r="L160" s="67">
        <v>0.09</v>
      </c>
      <c r="M160" s="63" t="s">
        <v>636</v>
      </c>
      <c r="N160" s="66">
        <v>1</v>
      </c>
      <c r="O160" s="67">
        <v>0.05</v>
      </c>
      <c r="P160" s="68" t="s">
        <v>734</v>
      </c>
      <c r="Q160" s="66">
        <v>1</v>
      </c>
      <c r="R160" s="67">
        <f>6.76/100</f>
        <v>6.7599999999999993E-2</v>
      </c>
      <c r="S160" s="68" t="s">
        <v>685</v>
      </c>
      <c r="T160" s="66">
        <v>1</v>
      </c>
      <c r="U160" s="67">
        <f>6.18/100</f>
        <v>6.1799999999999994E-2</v>
      </c>
      <c r="V160" s="37">
        <f t="shared" si="23"/>
        <v>1.8426763144947643E-2</v>
      </c>
      <c r="W160" s="58">
        <f t="shared" si="24"/>
        <v>0.24941476915197139</v>
      </c>
      <c r="X160" s="23">
        <f t="shared" ref="X160:X171" si="30">ROUND(SUM(I160*H160,L160*K160,O160*N160,R160*Q160,U160*T160,)/SUM(H160,K160,N160,Q160,T160,),2)</f>
        <v>0.09</v>
      </c>
      <c r="Y160" s="38">
        <f t="shared" si="22"/>
        <v>3681</v>
      </c>
      <c r="Z160" s="6">
        <f t="shared" si="25"/>
        <v>6.4699999999999994E-2</v>
      </c>
      <c r="AA160" s="5">
        <f t="shared" si="26"/>
        <v>7.3879999999999987E-2</v>
      </c>
      <c r="AB160" s="8">
        <f t="shared" si="27"/>
        <v>1.8426763144947643E-2</v>
      </c>
      <c r="AC160" s="7">
        <f t="shared" si="28"/>
        <v>0.24941476915197139</v>
      </c>
      <c r="AD160" s="5"/>
      <c r="AE160" s="5"/>
    </row>
    <row r="161" spans="1:31" ht="111" customHeight="1" x14ac:dyDescent="0.3">
      <c r="A161" s="26">
        <v>157</v>
      </c>
      <c r="B161" s="32">
        <f>'APÊNDICE II-MEMÓRIA DE CÁLCULO'!B162</f>
        <v>12425</v>
      </c>
      <c r="C161" s="33">
        <f>'APÊNDICE II-MEMÓRIA DE CÁLCULO'!C162</f>
        <v>481791</v>
      </c>
      <c r="D161" s="34" t="str">
        <f>'APÊNDICE II-MEMÓRIA DE CÁLCULO'!D162</f>
        <v xml:space="preserve">Lençol descartável - material: papel, dimensões: 70 cm de largura 50 m de comprimento, apresentação: rolo, aplicação: maca hospitalar. </v>
      </c>
      <c r="E161" s="33" t="str">
        <f>'APÊNDICE II-MEMÓRIA DE CÁLCULO'!E162</f>
        <v>ROLO</v>
      </c>
      <c r="F161" s="35">
        <f>'APÊNDICE II-MEMÓRIA DE CÁLCULO'!L162</f>
        <v>770</v>
      </c>
      <c r="G161" s="63" t="s">
        <v>809</v>
      </c>
      <c r="H161" s="64">
        <v>1</v>
      </c>
      <c r="I161" s="67">
        <v>9.1999999999999993</v>
      </c>
      <c r="J161" s="73" t="s">
        <v>810</v>
      </c>
      <c r="K161" s="66">
        <v>2</v>
      </c>
      <c r="L161" s="67">
        <v>8.84</v>
      </c>
      <c r="M161" s="63" t="s">
        <v>524</v>
      </c>
      <c r="N161" s="66">
        <v>1</v>
      </c>
      <c r="O161" s="67">
        <v>7.99</v>
      </c>
      <c r="P161" s="68" t="s">
        <v>735</v>
      </c>
      <c r="Q161" s="66">
        <v>1</v>
      </c>
      <c r="R161" s="67">
        <v>9.25</v>
      </c>
      <c r="S161" s="68" t="s">
        <v>736</v>
      </c>
      <c r="T161" s="66">
        <v>1</v>
      </c>
      <c r="U161" s="67">
        <v>9.5</v>
      </c>
      <c r="V161" s="37">
        <f t="shared" si="23"/>
        <v>0.52697628030111554</v>
      </c>
      <c r="W161" s="58">
        <f t="shared" si="24"/>
        <v>5.8840585116247832E-2</v>
      </c>
      <c r="X161" s="23">
        <f t="shared" si="30"/>
        <v>8.94</v>
      </c>
      <c r="Y161" s="38">
        <f t="shared" si="22"/>
        <v>6883.7999999999993</v>
      </c>
      <c r="Z161" s="6">
        <f t="shared" si="25"/>
        <v>9.02</v>
      </c>
      <c r="AA161" s="5">
        <f t="shared" si="26"/>
        <v>8.9559999999999995</v>
      </c>
      <c r="AB161" s="8">
        <f t="shared" si="27"/>
        <v>0.52697628030111554</v>
      </c>
      <c r="AC161" s="7">
        <f t="shared" si="28"/>
        <v>5.8840585116247832E-2</v>
      </c>
      <c r="AD161" s="5"/>
      <c r="AE161" s="5"/>
    </row>
    <row r="162" spans="1:31" ht="111" customHeight="1" x14ac:dyDescent="0.3">
      <c r="A162" s="26">
        <v>158</v>
      </c>
      <c r="B162" s="32">
        <f>'APÊNDICE II-MEMÓRIA DE CÁLCULO'!B163</f>
        <v>12426</v>
      </c>
      <c r="C162" s="33">
        <f>'APÊNDICE II-MEMÓRIA DE CÁLCULO'!C163</f>
        <v>299240</v>
      </c>
      <c r="D162" s="34" t="str">
        <f>'APÊNDICE II-MEMÓRIA DE CÁLCULO'!D163</f>
        <v>Lâmina bisturi - tamanho: Nº 24,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v>
      </c>
      <c r="E162" s="33" t="str">
        <f>'APÊNDICE II-MEMÓRIA DE CÁLCULO'!E163</f>
        <v>CAIXA</v>
      </c>
      <c r="F162" s="35">
        <f>'APÊNDICE II-MEMÓRIA DE CÁLCULO'!L163</f>
        <v>170</v>
      </c>
      <c r="G162" s="63" t="s">
        <v>809</v>
      </c>
      <c r="H162" s="64">
        <v>15</v>
      </c>
      <c r="I162" s="67">
        <f>0.22*100</f>
        <v>22</v>
      </c>
      <c r="J162" s="73" t="s">
        <v>810</v>
      </c>
      <c r="K162" s="66">
        <v>4</v>
      </c>
      <c r="L162" s="67">
        <v>28.7</v>
      </c>
      <c r="M162" s="63" t="s">
        <v>593</v>
      </c>
      <c r="N162" s="66">
        <v>1</v>
      </c>
      <c r="O162" s="67">
        <v>20.9</v>
      </c>
      <c r="P162" s="68" t="s">
        <v>737</v>
      </c>
      <c r="Q162" s="66">
        <v>1</v>
      </c>
      <c r="R162" s="67">
        <v>25.9</v>
      </c>
      <c r="S162" s="68" t="s">
        <v>738</v>
      </c>
      <c r="T162" s="66">
        <v>1</v>
      </c>
      <c r="U162" s="67">
        <v>32.9</v>
      </c>
      <c r="V162" s="37">
        <f t="shared" si="23"/>
        <v>4.4019995456610665</v>
      </c>
      <c r="W162" s="58">
        <f t="shared" si="24"/>
        <v>0.16878832613731087</v>
      </c>
      <c r="X162" s="23">
        <f t="shared" si="30"/>
        <v>23.84</v>
      </c>
      <c r="Y162" s="38">
        <f t="shared" si="22"/>
        <v>4052.8</v>
      </c>
      <c r="Z162" s="6">
        <f t="shared" si="25"/>
        <v>23.95</v>
      </c>
      <c r="AA162" s="5">
        <f t="shared" si="26"/>
        <v>26.079999999999995</v>
      </c>
      <c r="AB162" s="8">
        <f t="shared" si="27"/>
        <v>4.4019995456610665</v>
      </c>
      <c r="AC162" s="7">
        <f t="shared" si="28"/>
        <v>0.16878832613731087</v>
      </c>
      <c r="AD162" s="5"/>
      <c r="AE162" s="5"/>
    </row>
    <row r="163" spans="1:31" ht="111" customHeight="1" x14ac:dyDescent="0.3">
      <c r="A163" s="26">
        <v>159</v>
      </c>
      <c r="B163" s="32">
        <f>'APÊNDICE II-MEMÓRIA DE CÁLCULO'!B164</f>
        <v>12427</v>
      </c>
      <c r="C163" s="33">
        <f>'APÊNDICE II-MEMÓRIA DE CÁLCULO'!C164</f>
        <v>242918</v>
      </c>
      <c r="D163" s="34" t="str">
        <f>'APÊNDICE II-MEMÓRIA DE CÁLCULO'!D164</f>
        <v>Lâmina bisturi - tamanho: Nº 22, material: aço carbono, tipo: descartável, características adicionais: embalada individualmente, esterilidade: estéril, isenta de rebarbas e sinais de oxidação, ponta afiada, perfeita adaptação ao cabo, com proteção na lâmina, em embalagem individual, em alumínio hermeticamente fechado, com dados de identificação e procedência, data e tipo de esterilização e tempo de validade. Caixa com 100 unidades.</v>
      </c>
      <c r="E163" s="33" t="str">
        <f>'APÊNDICE II-MEMÓRIA DE CÁLCULO'!E164</f>
        <v>CAIXA</v>
      </c>
      <c r="F163" s="35">
        <f>'APÊNDICE II-MEMÓRIA DE CÁLCULO'!L164</f>
        <v>43</v>
      </c>
      <c r="G163" s="63" t="s">
        <v>809</v>
      </c>
      <c r="H163" s="64">
        <v>5</v>
      </c>
      <c r="I163" s="67">
        <v>36.51</v>
      </c>
      <c r="J163" s="73" t="s">
        <v>810</v>
      </c>
      <c r="K163" s="66">
        <v>1</v>
      </c>
      <c r="L163" s="67">
        <v>32.15</v>
      </c>
      <c r="M163" s="63" t="s">
        <v>594</v>
      </c>
      <c r="N163" s="66">
        <v>1</v>
      </c>
      <c r="O163" s="67">
        <v>20.9</v>
      </c>
      <c r="P163" s="68" t="s">
        <v>737</v>
      </c>
      <c r="Q163" s="66">
        <v>1</v>
      </c>
      <c r="R163" s="67">
        <v>25.9</v>
      </c>
      <c r="S163" s="68" t="s">
        <v>739</v>
      </c>
      <c r="T163" s="66">
        <v>1</v>
      </c>
      <c r="U163" s="67">
        <v>32.869999999999997</v>
      </c>
      <c r="V163" s="37">
        <f t="shared" si="23"/>
        <v>5.555208726951661</v>
      </c>
      <c r="W163" s="58">
        <f t="shared" si="24"/>
        <v>0.1872584348058943</v>
      </c>
      <c r="X163" s="23">
        <f t="shared" si="30"/>
        <v>32.71</v>
      </c>
      <c r="Y163" s="38">
        <f t="shared" si="22"/>
        <v>1406.53</v>
      </c>
      <c r="Z163" s="6">
        <f t="shared" si="25"/>
        <v>29.024999999999999</v>
      </c>
      <c r="AA163" s="5">
        <f t="shared" si="26"/>
        <v>29.666000000000004</v>
      </c>
      <c r="AB163" s="8">
        <f t="shared" si="27"/>
        <v>5.555208726951661</v>
      </c>
      <c r="AC163" s="7">
        <f t="shared" si="28"/>
        <v>0.1872584348058943</v>
      </c>
      <c r="AD163" s="5"/>
      <c r="AE163" s="5"/>
    </row>
    <row r="164" spans="1:31" ht="111" customHeight="1" x14ac:dyDescent="0.3">
      <c r="A164" s="26">
        <v>160</v>
      </c>
      <c r="B164" s="32">
        <f>'APÊNDICE II-MEMÓRIA DE CÁLCULO'!B165</f>
        <v>12428</v>
      </c>
      <c r="C164" s="33">
        <f>'APÊNDICE II-MEMÓRIA DE CÁLCULO'!C165</f>
        <v>409705</v>
      </c>
      <c r="D164" s="34" t="str">
        <f>'APÊNDICE II-MEMÓRIA DE CÁLCULO'!D165</f>
        <v>Lâmina de vidro - tipo: com extremidade fosca, dimensões: 26 x 76 mm, características adicionais: caixa com 50 unidades. Embalagem contendo externamente dados de identificação, procedência, lote, prazo de validade e registro em órgão competente.</v>
      </c>
      <c r="E164" s="33" t="str">
        <f>'APÊNDICE II-MEMÓRIA DE CÁLCULO'!E165</f>
        <v>CAIXA</v>
      </c>
      <c r="F164" s="35">
        <f>'APÊNDICE II-MEMÓRIA DE CÁLCULO'!L165</f>
        <v>25</v>
      </c>
      <c r="G164" s="63" t="s">
        <v>809</v>
      </c>
      <c r="H164" s="64">
        <v>1</v>
      </c>
      <c r="I164" s="67">
        <v>6</v>
      </c>
      <c r="J164" s="73" t="s">
        <v>810</v>
      </c>
      <c r="K164" s="66">
        <v>1</v>
      </c>
      <c r="L164" s="67">
        <f>0.13*50</f>
        <v>6.5</v>
      </c>
      <c r="M164" s="63" t="s">
        <v>455</v>
      </c>
      <c r="N164" s="66">
        <v>1</v>
      </c>
      <c r="O164" s="67">
        <v>6.7</v>
      </c>
      <c r="P164" s="68" t="s">
        <v>692</v>
      </c>
      <c r="Q164" s="66">
        <v>1</v>
      </c>
      <c r="R164" s="67">
        <v>9</v>
      </c>
      <c r="S164" s="68" t="s">
        <v>740</v>
      </c>
      <c r="T164" s="66">
        <v>1</v>
      </c>
      <c r="U164" s="67">
        <v>6.67</v>
      </c>
      <c r="V164" s="37">
        <f t="shared" si="23"/>
        <v>1.043601456495729</v>
      </c>
      <c r="W164" s="58">
        <f t="shared" si="24"/>
        <v>0.1496417345132964</v>
      </c>
      <c r="X164" s="23">
        <f t="shared" si="30"/>
        <v>6.97</v>
      </c>
      <c r="Y164" s="38">
        <f t="shared" si="22"/>
        <v>174.25</v>
      </c>
      <c r="Z164" s="6">
        <f t="shared" si="25"/>
        <v>6.585</v>
      </c>
      <c r="AA164" s="5">
        <f t="shared" si="26"/>
        <v>6.9739999999999993</v>
      </c>
      <c r="AB164" s="8">
        <f t="shared" si="27"/>
        <v>1.043601456495729</v>
      </c>
      <c r="AC164" s="7">
        <f t="shared" si="28"/>
        <v>0.1496417345132964</v>
      </c>
      <c r="AD164" s="5"/>
      <c r="AE164" s="5"/>
    </row>
    <row r="165" spans="1:31" ht="160.5" customHeight="1" x14ac:dyDescent="0.3">
      <c r="A165" s="26">
        <v>161</v>
      </c>
      <c r="B165" s="32">
        <f>'APÊNDICE II-MEMÓRIA DE CÁLCULO'!B166</f>
        <v>12573</v>
      </c>
      <c r="C165" s="33">
        <f>'APÊNDICE II-MEMÓRIA DE CÁLCULO'!C166</f>
        <v>269839</v>
      </c>
      <c r="D165" s="34" t="str">
        <f>'APÊNDICE II-MEMÓRIA DE CÁLCULO'!D166</f>
        <v>Luva cirúrgica - tamanho Nº 7,0,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5" s="33" t="str">
        <f>'APÊNDICE II-MEMÓRIA DE CÁLCULO'!E166</f>
        <v>PAR</v>
      </c>
      <c r="F165" s="35">
        <f>'APÊNDICE II-MEMÓRIA DE CÁLCULO'!L166</f>
        <v>8000</v>
      </c>
      <c r="G165" s="63" t="s">
        <v>809</v>
      </c>
      <c r="H165" s="64">
        <v>11</v>
      </c>
      <c r="I165" s="67">
        <v>1.26</v>
      </c>
      <c r="J165" s="73" t="s">
        <v>810</v>
      </c>
      <c r="K165" s="66">
        <v>4</v>
      </c>
      <c r="L165" s="67">
        <v>1.44</v>
      </c>
      <c r="M165" s="63" t="s">
        <v>456</v>
      </c>
      <c r="N165" s="66">
        <v>1</v>
      </c>
      <c r="O165" s="67">
        <v>1.04</v>
      </c>
      <c r="P165" s="68" t="s">
        <v>720</v>
      </c>
      <c r="Q165" s="66">
        <v>1</v>
      </c>
      <c r="R165" s="67">
        <v>1.79</v>
      </c>
      <c r="S165" s="68" t="s">
        <v>691</v>
      </c>
      <c r="T165" s="66">
        <v>1</v>
      </c>
      <c r="U165" s="67">
        <v>1.45</v>
      </c>
      <c r="V165" s="37">
        <f t="shared" si="23"/>
        <v>0.24711131095115779</v>
      </c>
      <c r="W165" s="58">
        <f t="shared" si="24"/>
        <v>0.17701383305956861</v>
      </c>
      <c r="X165" s="23">
        <f t="shared" si="30"/>
        <v>1.33</v>
      </c>
      <c r="Y165" s="38">
        <f t="shared" si="22"/>
        <v>10640</v>
      </c>
      <c r="Z165" s="6">
        <f t="shared" si="25"/>
        <v>1.35</v>
      </c>
      <c r="AA165" s="5">
        <f t="shared" si="26"/>
        <v>1.3960000000000001</v>
      </c>
      <c r="AB165" s="8">
        <f t="shared" si="27"/>
        <v>0.24711131095115779</v>
      </c>
      <c r="AC165" s="7">
        <f t="shared" si="28"/>
        <v>0.17701383305956861</v>
      </c>
      <c r="AD165" s="5"/>
      <c r="AE165" s="5"/>
    </row>
    <row r="166" spans="1:31" ht="160.5" customHeight="1" x14ac:dyDescent="0.3">
      <c r="A166" s="26">
        <v>162</v>
      </c>
      <c r="B166" s="32">
        <f>'APÊNDICE II-MEMÓRIA DE CÁLCULO'!B167</f>
        <v>12429</v>
      </c>
      <c r="C166" s="33">
        <f>'APÊNDICE II-MEMÓRIA DE CÁLCULO'!C167</f>
        <v>269838</v>
      </c>
      <c r="D166" s="34" t="str">
        <f>'APÊNDICE II-MEMÓRIA DE CÁLCULO'!D167</f>
        <v>Luva cirúrgica - tamanho Nº 7,5,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6" s="33" t="str">
        <f>'APÊNDICE II-MEMÓRIA DE CÁLCULO'!E167</f>
        <v>PAR</v>
      </c>
      <c r="F166" s="35">
        <f>'APÊNDICE II-MEMÓRIA DE CÁLCULO'!L167</f>
        <v>15000</v>
      </c>
      <c r="G166" s="63" t="s">
        <v>809</v>
      </c>
      <c r="H166" s="64">
        <v>30</v>
      </c>
      <c r="I166" s="67">
        <v>1.08</v>
      </c>
      <c r="J166" s="73" t="s">
        <v>810</v>
      </c>
      <c r="K166" s="66">
        <v>1</v>
      </c>
      <c r="L166" s="67">
        <v>1.1399999999999999</v>
      </c>
      <c r="M166" s="63" t="s">
        <v>457</v>
      </c>
      <c r="N166" s="66">
        <v>1</v>
      </c>
      <c r="O166" s="67">
        <v>1.05</v>
      </c>
      <c r="P166" s="68" t="s">
        <v>720</v>
      </c>
      <c r="Q166" s="66">
        <v>1</v>
      </c>
      <c r="R166" s="67">
        <v>1.79</v>
      </c>
      <c r="S166" s="68" t="s">
        <v>341</v>
      </c>
      <c r="T166" s="66">
        <v>1</v>
      </c>
      <c r="U166" s="67">
        <v>1.77</v>
      </c>
      <c r="V166" s="37">
        <f t="shared" si="23"/>
        <v>0.33932874915043787</v>
      </c>
      <c r="W166" s="58">
        <f t="shared" si="24"/>
        <v>0.24841050450251675</v>
      </c>
      <c r="X166" s="23">
        <f t="shared" si="30"/>
        <v>1.1200000000000001</v>
      </c>
      <c r="Y166" s="38">
        <f t="shared" si="22"/>
        <v>16800</v>
      </c>
      <c r="Z166" s="6">
        <f t="shared" si="25"/>
        <v>1.1099999999999999</v>
      </c>
      <c r="AA166" s="5">
        <f t="shared" si="26"/>
        <v>1.3659999999999999</v>
      </c>
      <c r="AB166" s="8">
        <f t="shared" si="27"/>
        <v>0.33932874915043787</v>
      </c>
      <c r="AC166" s="7">
        <f t="shared" si="28"/>
        <v>0.24841050450251675</v>
      </c>
      <c r="AD166" s="5"/>
      <c r="AE166" s="5"/>
    </row>
    <row r="167" spans="1:31" ht="160.5" customHeight="1" x14ac:dyDescent="0.3">
      <c r="A167" s="26">
        <v>163</v>
      </c>
      <c r="B167" s="32">
        <f>'APÊNDICE II-MEMÓRIA DE CÁLCULO'!B168</f>
        <v>12430</v>
      </c>
      <c r="C167" s="33">
        <f>'APÊNDICE II-MEMÓRIA DE CÁLCULO'!C168</f>
        <v>269837</v>
      </c>
      <c r="D167" s="34" t="str">
        <f>'APÊNDICE II-MEMÓRIA DE CÁLCULO'!D168</f>
        <v>Luva cirúrgica - tamanho Nº 8,0,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7" s="33" t="str">
        <f>'APÊNDICE II-MEMÓRIA DE CÁLCULO'!E168</f>
        <v>PAR</v>
      </c>
      <c r="F167" s="35">
        <f>'APÊNDICE II-MEMÓRIA DE CÁLCULO'!L168</f>
        <v>3850</v>
      </c>
      <c r="G167" s="63" t="s">
        <v>809</v>
      </c>
      <c r="H167" s="64">
        <v>32</v>
      </c>
      <c r="I167" s="67">
        <v>1.05</v>
      </c>
      <c r="J167" s="73" t="s">
        <v>810</v>
      </c>
      <c r="K167" s="66">
        <v>6</v>
      </c>
      <c r="L167" s="67">
        <v>1.25</v>
      </c>
      <c r="M167" s="63" t="s">
        <v>458</v>
      </c>
      <c r="N167" s="66">
        <v>1</v>
      </c>
      <c r="O167" s="67">
        <v>1.04</v>
      </c>
      <c r="P167" s="68" t="s">
        <v>385</v>
      </c>
      <c r="Q167" s="66">
        <v>1</v>
      </c>
      <c r="R167" s="67">
        <v>1.62</v>
      </c>
      <c r="S167" s="68" t="s">
        <v>741</v>
      </c>
      <c r="T167" s="66">
        <v>1</v>
      </c>
      <c r="U167" s="67">
        <v>1.79</v>
      </c>
      <c r="V167" s="37">
        <f t="shared" si="23"/>
        <v>0.30417100453527801</v>
      </c>
      <c r="W167" s="58">
        <f t="shared" si="24"/>
        <v>0.22531185521131702</v>
      </c>
      <c r="X167" s="23">
        <f t="shared" si="30"/>
        <v>1.1100000000000001</v>
      </c>
      <c r="Y167" s="38">
        <f t="shared" si="22"/>
        <v>4273.5</v>
      </c>
      <c r="Z167" s="6">
        <f t="shared" si="25"/>
        <v>1.1499999999999999</v>
      </c>
      <c r="AA167" s="5">
        <f t="shared" si="26"/>
        <v>1.35</v>
      </c>
      <c r="AB167" s="8">
        <f t="shared" si="27"/>
        <v>0.30417100453527801</v>
      </c>
      <c r="AC167" s="7">
        <f t="shared" si="28"/>
        <v>0.22531185521131702</v>
      </c>
      <c r="AD167" s="5"/>
      <c r="AE167" s="5"/>
    </row>
    <row r="168" spans="1:31" ht="160.5" customHeight="1" x14ac:dyDescent="0.3">
      <c r="A168" s="26">
        <v>164</v>
      </c>
      <c r="B168" s="32">
        <f>'APÊNDICE II-MEMÓRIA DE CÁLCULO'!B169</f>
        <v>12431</v>
      </c>
      <c r="C168" s="33">
        <f>'APÊNDICE II-MEMÓRIA DE CÁLCULO'!C169</f>
        <v>269947</v>
      </c>
      <c r="D168" s="34" t="str">
        <f>'APÊNDICE II-MEMÓRIA DE CÁLCULO'!D169</f>
        <v>Luva cirúrgica - tamanho Nº 8,5, apresentação: par, material: látex natural, textura uniforme, esterilidade: estéril, descartável, dimensões mínimas: 28 cm de comprimento, formato: anatômico, características adicionais: com alta sensibilidade táctil, boa elasticidade e resistente à tração, punho com bainha ou frisos, lubrificada com material atóxico, acondicionada em invólucro interno com dobras para abertura asséptica, dobradas conforme padrão hospitalar, com indicativos da mão direita e da esquerda e numeração, embalada aos pares em embalagem de papel grau cirúrgico e/ou com filme termoplástico, com abertura em pétala, contendo externamente dados de identificação, procedência, data e tipo de esterilização, prazo de validade e registro em órgão competente.</v>
      </c>
      <c r="E168" s="33" t="str">
        <f>'APÊNDICE II-MEMÓRIA DE CÁLCULO'!E169</f>
        <v>PAR</v>
      </c>
      <c r="F168" s="35">
        <f>'APÊNDICE II-MEMÓRIA DE CÁLCULO'!L169</f>
        <v>1000</v>
      </c>
      <c r="G168" s="63" t="s">
        <v>809</v>
      </c>
      <c r="H168" s="64">
        <v>20</v>
      </c>
      <c r="I168" s="67">
        <v>1.24</v>
      </c>
      <c r="J168" s="73" t="s">
        <v>810</v>
      </c>
      <c r="K168" s="66">
        <v>5</v>
      </c>
      <c r="L168" s="67">
        <v>1.1399999999999999</v>
      </c>
      <c r="M168" s="63" t="s">
        <v>595</v>
      </c>
      <c r="N168" s="66">
        <v>1</v>
      </c>
      <c r="O168" s="67">
        <v>1.0900000000000001</v>
      </c>
      <c r="P168" s="68" t="s">
        <v>730</v>
      </c>
      <c r="Q168" s="66">
        <v>1</v>
      </c>
      <c r="R168" s="67">
        <v>1.6</v>
      </c>
      <c r="S168" s="68" t="s">
        <v>741</v>
      </c>
      <c r="T168" s="66">
        <v>1</v>
      </c>
      <c r="U168" s="67">
        <v>1.79</v>
      </c>
      <c r="V168" s="37">
        <f t="shared" si="23"/>
        <v>0.27476535443901945</v>
      </c>
      <c r="W168" s="58">
        <f t="shared" si="24"/>
        <v>0.20026629332290047</v>
      </c>
      <c r="X168" s="23">
        <f t="shared" si="30"/>
        <v>1.25</v>
      </c>
      <c r="Y168" s="38">
        <f t="shared" si="22"/>
        <v>1250</v>
      </c>
      <c r="Z168" s="6">
        <f t="shared" si="25"/>
        <v>1.19</v>
      </c>
      <c r="AA168" s="5">
        <f t="shared" si="26"/>
        <v>1.3720000000000001</v>
      </c>
      <c r="AB168" s="8">
        <f t="shared" si="27"/>
        <v>0.27476535443901945</v>
      </c>
      <c r="AC168" s="7">
        <f t="shared" si="28"/>
        <v>0.20026629332290047</v>
      </c>
      <c r="AD168" s="5"/>
      <c r="AE168" s="5"/>
    </row>
    <row r="169" spans="1:31" ht="160.5" customHeight="1" x14ac:dyDescent="0.3">
      <c r="A169" s="26">
        <v>165</v>
      </c>
      <c r="B169" s="32">
        <f>'APÊNDICE II-MEMÓRIA DE CÁLCULO'!B170</f>
        <v>16339</v>
      </c>
      <c r="C169" s="33">
        <f>'APÊNDICE II-MEMÓRIA DE CÁLCULO'!C170</f>
        <v>269894</v>
      </c>
      <c r="D169" s="34" t="str">
        <f>'APÊNDICE II-MEMÓRIA DE CÁLCULO'!D170</f>
        <v>Luva para procedimento com pó, tamanho: pequeno,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69" s="33" t="str">
        <f>'APÊNDICE II-MEMÓRIA DE CÁLCULO'!E170</f>
        <v>CAIXA</v>
      </c>
      <c r="F169" s="35">
        <f>'APÊNDICE II-MEMÓRIA DE CÁLCULO'!L170</f>
        <v>2000</v>
      </c>
      <c r="G169" s="63" t="s">
        <v>809</v>
      </c>
      <c r="H169" s="64">
        <v>4</v>
      </c>
      <c r="I169" s="67">
        <v>28.98</v>
      </c>
      <c r="J169" s="73" t="s">
        <v>810</v>
      </c>
      <c r="K169" s="66">
        <v>2</v>
      </c>
      <c r="L169" s="67">
        <v>27.33</v>
      </c>
      <c r="M169" s="63" t="s">
        <v>537</v>
      </c>
      <c r="N169" s="66">
        <v>1</v>
      </c>
      <c r="O169" s="67">
        <v>12.49</v>
      </c>
      <c r="P169" s="68" t="s">
        <v>391</v>
      </c>
      <c r="Q169" s="66">
        <v>1</v>
      </c>
      <c r="R169" s="67">
        <v>37.9</v>
      </c>
      <c r="S169" s="68" t="s">
        <v>365</v>
      </c>
      <c r="T169" s="66">
        <v>1</v>
      </c>
      <c r="U169" s="67">
        <v>28.4</v>
      </c>
      <c r="V169" s="37">
        <f t="shared" si="23"/>
        <v>8.1894737315654034</v>
      </c>
      <c r="W169" s="58">
        <f t="shared" si="24"/>
        <v>0.30308933129405635</v>
      </c>
      <c r="X169" s="23">
        <f t="shared" si="30"/>
        <v>27.71</v>
      </c>
      <c r="Y169" s="38">
        <f t="shared" si="22"/>
        <v>55420</v>
      </c>
      <c r="Z169" s="6">
        <f t="shared" si="25"/>
        <v>27.864999999999998</v>
      </c>
      <c r="AA169" s="5">
        <f t="shared" si="26"/>
        <v>27.020000000000003</v>
      </c>
      <c r="AB169" s="8">
        <f t="shared" si="27"/>
        <v>8.1894737315654034</v>
      </c>
      <c r="AC169" s="7">
        <f t="shared" si="28"/>
        <v>0.30308933129405635</v>
      </c>
      <c r="AD169" s="5"/>
      <c r="AE169" s="5"/>
    </row>
    <row r="170" spans="1:31" ht="160.5" customHeight="1" x14ac:dyDescent="0.3">
      <c r="A170" s="26">
        <v>166</v>
      </c>
      <c r="B170" s="32">
        <f>'APÊNDICE II-MEMÓRIA DE CÁLCULO'!B171</f>
        <v>16340</v>
      </c>
      <c r="C170" s="33">
        <f>'APÊNDICE II-MEMÓRIA DE CÁLCULO'!C171</f>
        <v>269893</v>
      </c>
      <c r="D170" s="34" t="str">
        <f>'APÊNDICE II-MEMÓRIA DE CÁLCULO'!D171</f>
        <v>Luva para procedimento com pó - tamanho: médio,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70" s="33" t="str">
        <f>'APÊNDICE II-MEMÓRIA DE CÁLCULO'!E171</f>
        <v>CAIXA</v>
      </c>
      <c r="F170" s="35">
        <f>'APÊNDICE II-MEMÓRIA DE CÁLCULO'!L171</f>
        <v>1913</v>
      </c>
      <c r="G170" s="63" t="s">
        <v>809</v>
      </c>
      <c r="H170" s="64">
        <v>5</v>
      </c>
      <c r="I170" s="67">
        <v>27.8</v>
      </c>
      <c r="J170" s="73" t="s">
        <v>810</v>
      </c>
      <c r="K170" s="66">
        <v>3</v>
      </c>
      <c r="L170" s="67">
        <v>26.12</v>
      </c>
      <c r="M170" s="63" t="s">
        <v>538</v>
      </c>
      <c r="N170" s="66">
        <v>1</v>
      </c>
      <c r="O170" s="67">
        <v>12.49</v>
      </c>
      <c r="P170" s="68" t="s">
        <v>391</v>
      </c>
      <c r="Q170" s="66">
        <v>1</v>
      </c>
      <c r="R170" s="67">
        <v>37.9</v>
      </c>
      <c r="S170" s="68" t="s">
        <v>365</v>
      </c>
      <c r="T170" s="66">
        <v>1</v>
      </c>
      <c r="U170" s="67">
        <v>28.4</v>
      </c>
      <c r="V170" s="37">
        <f t="shared" si="23"/>
        <v>8.1446384818480375</v>
      </c>
      <c r="W170" s="58">
        <f t="shared" si="24"/>
        <v>0.30685850658759839</v>
      </c>
      <c r="X170" s="23">
        <f t="shared" si="30"/>
        <v>26.92</v>
      </c>
      <c r="Y170" s="38">
        <f t="shared" si="22"/>
        <v>51497.960000000006</v>
      </c>
      <c r="Z170" s="6">
        <f t="shared" si="25"/>
        <v>26.96</v>
      </c>
      <c r="AA170" s="5">
        <f t="shared" si="26"/>
        <v>26.542000000000002</v>
      </c>
      <c r="AB170" s="8">
        <f t="shared" si="27"/>
        <v>8.1446384818480375</v>
      </c>
      <c r="AC170" s="7">
        <f t="shared" si="28"/>
        <v>0.30685850658759839</v>
      </c>
      <c r="AD170" s="5"/>
      <c r="AE170" s="5"/>
    </row>
    <row r="171" spans="1:31" ht="160.5" customHeight="1" x14ac:dyDescent="0.3">
      <c r="A171" s="26">
        <v>167</v>
      </c>
      <c r="B171" s="32">
        <f>'APÊNDICE II-MEMÓRIA DE CÁLCULO'!B172</f>
        <v>16341</v>
      </c>
      <c r="C171" s="33">
        <f>'APÊNDICE II-MEMÓRIA DE CÁLCULO'!C172</f>
        <v>269892</v>
      </c>
      <c r="D171" s="34" t="str">
        <f>'APÊNDICE II-MEMÓRIA DE CÁLCULO'!D172</f>
        <v>Luva para procedimento com pó - tamanho: grande, tipo: descartável, material: látex natural, dimensões mínimas: 25 cm de comprimento, apresentação: caixa com 100 unidades, tipo: ambidestra, características adicionais: não estéril, textura uniforme, com alta sensibilidade táctil, boa elasticidade e resistente a tração lubrificado com material atóxico. Acondicionada em embalagem coletiva contendo externamente dados de identificação e procedência, data e tipo de esterilização e registro em órgão competente.</v>
      </c>
      <c r="E171" s="33" t="str">
        <f>'APÊNDICE II-MEMÓRIA DE CÁLCULO'!E172</f>
        <v>CAIXA</v>
      </c>
      <c r="F171" s="35">
        <f>'APÊNDICE II-MEMÓRIA DE CÁLCULO'!L172</f>
        <v>700</v>
      </c>
      <c r="G171" s="63" t="s">
        <v>809</v>
      </c>
      <c r="H171" s="64">
        <v>4</v>
      </c>
      <c r="I171" s="67">
        <v>28.77</v>
      </c>
      <c r="J171" s="73" t="s">
        <v>810</v>
      </c>
      <c r="K171" s="66">
        <v>1</v>
      </c>
      <c r="L171" s="67">
        <v>23.76</v>
      </c>
      <c r="M171" s="63" t="s">
        <v>539</v>
      </c>
      <c r="N171" s="66">
        <v>1</v>
      </c>
      <c r="O171" s="67">
        <v>12.49</v>
      </c>
      <c r="P171" s="68" t="s">
        <v>391</v>
      </c>
      <c r="Q171" s="66">
        <v>1</v>
      </c>
      <c r="R171" s="67">
        <v>37.9</v>
      </c>
      <c r="S171" s="68" t="s">
        <v>365</v>
      </c>
      <c r="T171" s="66">
        <v>1</v>
      </c>
      <c r="U171" s="67">
        <v>28.4</v>
      </c>
      <c r="V171" s="37">
        <f t="shared" si="23"/>
        <v>8.2732354009782636</v>
      </c>
      <c r="W171" s="58">
        <f t="shared" si="24"/>
        <v>0.31500287088707979</v>
      </c>
      <c r="X171" s="23">
        <f t="shared" si="30"/>
        <v>27.2</v>
      </c>
      <c r="Y171" s="38">
        <f t="shared" si="22"/>
        <v>19040</v>
      </c>
      <c r="Z171" s="6">
        <f t="shared" si="25"/>
        <v>26.08</v>
      </c>
      <c r="AA171" s="5">
        <f t="shared" si="26"/>
        <v>26.263999999999999</v>
      </c>
      <c r="AB171" s="8">
        <f t="shared" si="27"/>
        <v>8.2732354009782636</v>
      </c>
      <c r="AC171" s="7">
        <f t="shared" si="28"/>
        <v>0.31500287088707979</v>
      </c>
      <c r="AD171" s="5"/>
      <c r="AE171" s="5"/>
    </row>
    <row r="172" spans="1:31" ht="111" customHeight="1" x14ac:dyDescent="0.3">
      <c r="A172" s="26">
        <v>168</v>
      </c>
      <c r="B172" s="32">
        <f>'APÊNDICE II-MEMÓRIA DE CÁLCULO'!B173</f>
        <v>12435</v>
      </c>
      <c r="C172" s="33" t="str">
        <f>'APÊNDICE II-MEMÓRIA DE CÁLCULO'!C173</f>
        <v>-</v>
      </c>
      <c r="D172" s="34" t="str">
        <f>'APÊNDICE II-MEMÓRIA DE CÁLCULO'!D173</f>
        <v>Localizador de veias - tipo: portátil (scanner venoso), alimentação: pilha alcalinas tipo AA, características adicionais: LEDs na cor vermelha, utilizado para facilitar e otimizar a busca venosa em pacientes, embalagem contendo 02 pilhas alcalinas já inclusas no tamanho AA.</v>
      </c>
      <c r="E172" s="33" t="str">
        <f>'APÊNDICE II-MEMÓRIA DE CÁLCULO'!E173</f>
        <v>UNIDADE</v>
      </c>
      <c r="F172" s="35">
        <f>'APÊNDICE II-MEMÓRIA DE CÁLCULO'!L173</f>
        <v>3</v>
      </c>
      <c r="G172" s="63" t="s">
        <v>809</v>
      </c>
      <c r="H172" s="64">
        <v>1</v>
      </c>
      <c r="I172" s="67">
        <v>1170</v>
      </c>
      <c r="J172" s="56" t="s">
        <v>31</v>
      </c>
      <c r="K172" s="55" t="s">
        <v>31</v>
      </c>
      <c r="L172" s="37" t="s">
        <v>31</v>
      </c>
      <c r="M172" s="40" t="s">
        <v>31</v>
      </c>
      <c r="N172" s="55" t="s">
        <v>31</v>
      </c>
      <c r="O172" s="37" t="s">
        <v>31</v>
      </c>
      <c r="P172" s="68" t="s">
        <v>746</v>
      </c>
      <c r="Q172" s="66">
        <v>1</v>
      </c>
      <c r="R172" s="67">
        <v>859</v>
      </c>
      <c r="S172" s="68" t="s">
        <v>689</v>
      </c>
      <c r="T172" s="66">
        <v>1</v>
      </c>
      <c r="U172" s="67">
        <v>815</v>
      </c>
      <c r="V172" s="37">
        <f t="shared" si="23"/>
        <v>158.00210969055655</v>
      </c>
      <c r="W172" s="58">
        <f t="shared" si="24"/>
        <v>0.16666889207864616</v>
      </c>
      <c r="X172" s="23">
        <f>ROUND(SUM(I172*H172,R172*Q172,U172*T172,)/SUM(H172,Q172,T172,),2)</f>
        <v>948</v>
      </c>
      <c r="Y172" s="38">
        <f t="shared" si="22"/>
        <v>2844</v>
      </c>
      <c r="Z172" s="6">
        <f t="shared" si="25"/>
        <v>837</v>
      </c>
      <c r="AA172" s="5">
        <f t="shared" si="26"/>
        <v>948</v>
      </c>
      <c r="AB172" s="8">
        <f t="shared" si="27"/>
        <v>158.00210969055655</v>
      </c>
      <c r="AC172" s="7">
        <f t="shared" si="28"/>
        <v>0.16666889207864616</v>
      </c>
      <c r="AD172" s="5"/>
      <c r="AE172" s="5"/>
    </row>
    <row r="173" spans="1:31" ht="111" customHeight="1" x14ac:dyDescent="0.3">
      <c r="A173" s="26">
        <v>169</v>
      </c>
      <c r="B173" s="32">
        <f>'APÊNDICE II-MEMÓRIA DE CÁLCULO'!B174</f>
        <v>12434</v>
      </c>
      <c r="C173" s="33">
        <f>'APÊNDICE II-MEMÓRIA DE CÁLCULO'!C174</f>
        <v>468644</v>
      </c>
      <c r="D173" s="34" t="str">
        <f>'APÊNDICE II-MEMÓRIA DE CÁLCULO'!D174</f>
        <v>Lâmpada laringoscópio - tensão nominal: 2,5 V, tipo: led, aplicação: rosca grande universal.</v>
      </c>
      <c r="E173" s="33" t="str">
        <f>'APÊNDICE II-MEMÓRIA DE CÁLCULO'!E174</f>
        <v>UNIDADE</v>
      </c>
      <c r="F173" s="35">
        <f>'APÊNDICE II-MEMÓRIA DE CÁLCULO'!L174</f>
        <v>6</v>
      </c>
      <c r="G173" s="63" t="s">
        <v>809</v>
      </c>
      <c r="H173" s="64">
        <v>1</v>
      </c>
      <c r="I173" s="67">
        <v>145</v>
      </c>
      <c r="J173" s="73" t="s">
        <v>810</v>
      </c>
      <c r="K173" s="66">
        <v>5</v>
      </c>
      <c r="L173" s="67">
        <v>145.28</v>
      </c>
      <c r="M173" s="63" t="s">
        <v>525</v>
      </c>
      <c r="N173" s="66">
        <v>1</v>
      </c>
      <c r="O173" s="67">
        <v>109</v>
      </c>
      <c r="P173" s="68" t="s">
        <v>747</v>
      </c>
      <c r="Q173" s="66">
        <v>1</v>
      </c>
      <c r="R173" s="67">
        <v>118.8</v>
      </c>
      <c r="S173" s="68" t="s">
        <v>685</v>
      </c>
      <c r="T173" s="66">
        <v>1</v>
      </c>
      <c r="U173" s="67">
        <v>87.97</v>
      </c>
      <c r="V173" s="37">
        <f t="shared" si="23"/>
        <v>21.932253874146216</v>
      </c>
      <c r="W173" s="58">
        <f t="shared" si="24"/>
        <v>0.18094426098627356</v>
      </c>
      <c r="X173" s="23">
        <f>ROUND(SUM(I173*H173,L173*K173,O173*N173,R173*Q173,U173*T173,)/SUM(H173,K173,N173,Q173,T173,),2)</f>
        <v>131.91</v>
      </c>
      <c r="Y173" s="38">
        <f t="shared" si="22"/>
        <v>791.46</v>
      </c>
      <c r="Z173" s="6">
        <f t="shared" si="25"/>
        <v>113.9</v>
      </c>
      <c r="AA173" s="5">
        <f t="shared" si="26"/>
        <v>121.21</v>
      </c>
      <c r="AB173" s="8">
        <f t="shared" si="27"/>
        <v>21.932253874146216</v>
      </c>
      <c r="AC173" s="7">
        <f t="shared" si="28"/>
        <v>0.18094426098627356</v>
      </c>
      <c r="AD173" s="5"/>
      <c r="AE173" s="5"/>
    </row>
    <row r="174" spans="1:31" ht="111" customHeight="1" x14ac:dyDescent="0.3">
      <c r="A174" s="26">
        <v>170</v>
      </c>
      <c r="B174" s="32">
        <f>'APÊNDICE II-MEMÓRIA DE CÁLCULO'!B175</f>
        <v>12437</v>
      </c>
      <c r="C174" s="33">
        <f>'APÊNDICE II-MEMÓRIA DE CÁLCULO'!C175</f>
        <v>455228</v>
      </c>
      <c r="D174" s="34" t="str">
        <f>'APÊNDICE II-MEMÓRIA DE CÁLCULO'!D175</f>
        <v>Máscara descartável cirúrgica, material: confeccionada em TNT (tecido não tecido), características adicionais: atóxico, 100% polipropileno, com retenção batecriológica +/- 95%, para proporcionar maior segurança e conforto ao profissional, tripla com elástico, cor: branca, caixa com 50 unidades.</v>
      </c>
      <c r="E174" s="33" t="str">
        <f>'APÊNDICE II-MEMÓRIA DE CÁLCULO'!E175</f>
        <v>CAIXA</v>
      </c>
      <c r="F174" s="35">
        <f>'APÊNDICE II-MEMÓRIA DE CÁLCULO'!L175</f>
        <v>1321</v>
      </c>
      <c r="G174" s="63" t="s">
        <v>809</v>
      </c>
      <c r="H174" s="64">
        <v>23</v>
      </c>
      <c r="I174" s="67">
        <v>3.97</v>
      </c>
      <c r="J174" s="73" t="s">
        <v>810</v>
      </c>
      <c r="K174" s="66">
        <v>5</v>
      </c>
      <c r="L174" s="67">
        <v>3.36</v>
      </c>
      <c r="M174" s="63" t="s">
        <v>596</v>
      </c>
      <c r="N174" s="66">
        <v>1</v>
      </c>
      <c r="O174" s="67">
        <v>3.95</v>
      </c>
      <c r="P174" s="40" t="s">
        <v>31</v>
      </c>
      <c r="Q174" s="55" t="s">
        <v>31</v>
      </c>
      <c r="R174" s="37" t="s">
        <v>31</v>
      </c>
      <c r="S174" s="68" t="s">
        <v>748</v>
      </c>
      <c r="T174" s="66">
        <v>1</v>
      </c>
      <c r="U174" s="67">
        <v>5.5</v>
      </c>
      <c r="V174" s="37">
        <f t="shared" si="23"/>
        <v>0.79229098189995484</v>
      </c>
      <c r="W174" s="58">
        <f t="shared" si="24"/>
        <v>0.18886554991655657</v>
      </c>
      <c r="X174" s="23">
        <f>ROUND(SUM(I174*H174,L174*K174,O174*N174,U174*T174,)/SUM(H174,K174,N174,T174,),2)</f>
        <v>3.92</v>
      </c>
      <c r="Y174" s="38">
        <f t="shared" si="22"/>
        <v>5178.32</v>
      </c>
      <c r="Z174" s="6">
        <f t="shared" si="25"/>
        <v>3.95</v>
      </c>
      <c r="AA174" s="5">
        <f t="shared" si="26"/>
        <v>4.1950000000000003</v>
      </c>
      <c r="AB174" s="8">
        <f t="shared" si="27"/>
        <v>0.79229098189995484</v>
      </c>
      <c r="AC174" s="7">
        <f t="shared" si="28"/>
        <v>0.18886554991655657</v>
      </c>
      <c r="AD174" s="5"/>
      <c r="AE174" s="5"/>
    </row>
    <row r="175" spans="1:31" ht="111" customHeight="1" x14ac:dyDescent="0.3">
      <c r="A175" s="26">
        <v>171</v>
      </c>
      <c r="B175" s="32">
        <f>'APÊNDICE II-MEMÓRIA DE CÁLCULO'!B176</f>
        <v>12438</v>
      </c>
      <c r="C175" s="33" t="str">
        <f>'APÊNDICE II-MEMÓRIA DE CÁLCULO'!C176</f>
        <v>-</v>
      </c>
      <c r="D175" s="34" t="str">
        <f>'APÊNDICE II-MEMÓRIA DE CÁLCULO'!D176</f>
        <v>Máscara de proteção - classe: N95, PFF2,  tipo: cirúrgica, tipo uso: semi-descartável, tipo fixação: tiras elásticas com vedação anatômica, tamanho e aplicação: adulto, características adicionais: filtragem bacteriana 99%, tripla camada. Embalagem contendo externamente dados de identificação e procedência, com registro ANVISA.</v>
      </c>
      <c r="E175" s="33" t="str">
        <f>'APÊNDICE II-MEMÓRIA DE CÁLCULO'!E176</f>
        <v>UNIDADE</v>
      </c>
      <c r="F175" s="35">
        <f>'APÊNDICE II-MEMÓRIA DE CÁLCULO'!L176</f>
        <v>1000</v>
      </c>
      <c r="G175" s="63" t="s">
        <v>809</v>
      </c>
      <c r="H175" s="64">
        <v>10</v>
      </c>
      <c r="I175" s="67">
        <v>0.96</v>
      </c>
      <c r="J175" s="73" t="s">
        <v>810</v>
      </c>
      <c r="K175" s="66">
        <v>1</v>
      </c>
      <c r="L175" s="67">
        <v>0.84</v>
      </c>
      <c r="M175" s="63" t="s">
        <v>597</v>
      </c>
      <c r="N175" s="66">
        <v>1</v>
      </c>
      <c r="O175" s="67">
        <v>0.99</v>
      </c>
      <c r="P175" s="68" t="s">
        <v>749</v>
      </c>
      <c r="Q175" s="66">
        <v>1</v>
      </c>
      <c r="R175" s="67">
        <v>1.25</v>
      </c>
      <c r="S175" s="68" t="s">
        <v>406</v>
      </c>
      <c r="T175" s="66">
        <v>1</v>
      </c>
      <c r="U175" s="67">
        <v>0.96</v>
      </c>
      <c r="V175" s="37">
        <f t="shared" si="23"/>
        <v>0.13520355024924416</v>
      </c>
      <c r="W175" s="58">
        <f t="shared" si="24"/>
        <v>0.13520355024924416</v>
      </c>
      <c r="X175" s="23">
        <f t="shared" ref="X175:X180" si="31">ROUND(SUM(I175*H175,L175*K175,O175*N175,R175*Q175,U175*T175,)/SUM(H175,K175,N175,Q175,T175,),2)</f>
        <v>0.97</v>
      </c>
      <c r="Y175" s="38">
        <f t="shared" si="22"/>
        <v>970</v>
      </c>
      <c r="Z175" s="6">
        <f t="shared" si="25"/>
        <v>0.96</v>
      </c>
      <c r="AA175" s="5">
        <f t="shared" si="26"/>
        <v>1</v>
      </c>
      <c r="AB175" s="8">
        <f t="shared" si="27"/>
        <v>0.13520355024924416</v>
      </c>
      <c r="AC175" s="7">
        <f t="shared" si="28"/>
        <v>0.13520355024924416</v>
      </c>
      <c r="AD175" s="5"/>
      <c r="AE175" s="5"/>
    </row>
    <row r="176" spans="1:31" ht="111" customHeight="1" x14ac:dyDescent="0.3">
      <c r="A176" s="26">
        <v>172</v>
      </c>
      <c r="B176" s="32">
        <f>'APÊNDICE II-MEMÓRIA DE CÁLCULO'!B177</f>
        <v>12439</v>
      </c>
      <c r="C176" s="33">
        <f>'APÊNDICE II-MEMÓRIA DE CÁLCULO'!C177</f>
        <v>445962</v>
      </c>
      <c r="D176" s="34" t="str">
        <f>'APÊNDICE II-MEMÓRIA DE CÁLCULO'!D177</f>
        <v>Malha tubular ortopédica - dimensões: 6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6" s="33" t="str">
        <f>'APÊNDICE II-MEMÓRIA DE CÁLCULO'!E177</f>
        <v>ROLO</v>
      </c>
      <c r="F176" s="35">
        <f>'APÊNDICE II-MEMÓRIA DE CÁLCULO'!L177</f>
        <v>50</v>
      </c>
      <c r="G176" s="63" t="s">
        <v>809</v>
      </c>
      <c r="H176" s="64">
        <v>8</v>
      </c>
      <c r="I176" s="67">
        <v>11.29</v>
      </c>
      <c r="J176" s="73" t="s">
        <v>810</v>
      </c>
      <c r="K176" s="66">
        <v>4</v>
      </c>
      <c r="L176" s="67">
        <v>7.7</v>
      </c>
      <c r="M176" s="63" t="s">
        <v>637</v>
      </c>
      <c r="N176" s="66">
        <v>1</v>
      </c>
      <c r="O176" s="67">
        <v>6.95</v>
      </c>
      <c r="P176" s="68" t="s">
        <v>387</v>
      </c>
      <c r="Q176" s="66">
        <v>1</v>
      </c>
      <c r="R176" s="67">
        <v>8.1999999999999993</v>
      </c>
      <c r="S176" s="68" t="s">
        <v>696</v>
      </c>
      <c r="T176" s="66">
        <v>1</v>
      </c>
      <c r="U176" s="67">
        <v>8.86</v>
      </c>
      <c r="V176" s="37">
        <f t="shared" si="23"/>
        <v>1.4829834793415602</v>
      </c>
      <c r="W176" s="58">
        <f t="shared" si="24"/>
        <v>0.17243993945832095</v>
      </c>
      <c r="X176" s="23">
        <f t="shared" si="31"/>
        <v>9.68</v>
      </c>
      <c r="Y176" s="38">
        <f t="shared" si="22"/>
        <v>484</v>
      </c>
      <c r="Z176" s="6">
        <f t="shared" si="25"/>
        <v>7.9499999999999993</v>
      </c>
      <c r="AA176" s="5">
        <f t="shared" si="26"/>
        <v>8.6</v>
      </c>
      <c r="AB176" s="8">
        <f t="shared" si="27"/>
        <v>1.4829834793415602</v>
      </c>
      <c r="AC176" s="7">
        <f t="shared" si="28"/>
        <v>0.17243993945832095</v>
      </c>
      <c r="AD176" s="5"/>
      <c r="AE176" s="5"/>
    </row>
    <row r="177" spans="1:31" ht="111" customHeight="1" x14ac:dyDescent="0.3">
      <c r="A177" s="26">
        <v>173</v>
      </c>
      <c r="B177" s="32">
        <f>'APÊNDICE II-MEMÓRIA DE CÁLCULO'!B178</f>
        <v>12440</v>
      </c>
      <c r="C177" s="33">
        <f>'APÊNDICE II-MEMÓRIA DE CÁLCULO'!C178</f>
        <v>445963</v>
      </c>
      <c r="D177" s="34" t="str">
        <f>'APÊNDICE II-MEMÓRIA DE CÁLCULO'!D178</f>
        <v>Malha tubular ortopédica, dimensões: 8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7" s="33" t="str">
        <f>'APÊNDICE II-MEMÓRIA DE CÁLCULO'!E178</f>
        <v>ROLO</v>
      </c>
      <c r="F177" s="35">
        <f>'APÊNDICE II-MEMÓRIA DE CÁLCULO'!L178</f>
        <v>50</v>
      </c>
      <c r="G177" s="63" t="s">
        <v>809</v>
      </c>
      <c r="H177" s="64">
        <v>1</v>
      </c>
      <c r="I177" s="67">
        <v>8.4</v>
      </c>
      <c r="J177" s="73" t="s">
        <v>810</v>
      </c>
      <c r="K177" s="66">
        <v>1</v>
      </c>
      <c r="L177" s="67">
        <v>10.79</v>
      </c>
      <c r="M177" s="63" t="s">
        <v>638</v>
      </c>
      <c r="N177" s="66">
        <v>1</v>
      </c>
      <c r="O177" s="67">
        <v>8.41</v>
      </c>
      <c r="P177" s="68" t="s">
        <v>750</v>
      </c>
      <c r="Q177" s="66">
        <v>1</v>
      </c>
      <c r="R177" s="67">
        <v>15</v>
      </c>
      <c r="S177" s="68" t="s">
        <v>691</v>
      </c>
      <c r="T177" s="66">
        <v>1</v>
      </c>
      <c r="U177" s="67">
        <v>11.15</v>
      </c>
      <c r="V177" s="37">
        <f t="shared" si="23"/>
        <v>2.4175276627166018</v>
      </c>
      <c r="W177" s="58">
        <f t="shared" si="24"/>
        <v>0.22488629420619552</v>
      </c>
      <c r="X177" s="23">
        <f t="shared" si="31"/>
        <v>10.75</v>
      </c>
      <c r="Y177" s="38">
        <f t="shared" si="22"/>
        <v>537.5</v>
      </c>
      <c r="Z177" s="6">
        <f t="shared" si="25"/>
        <v>9.6</v>
      </c>
      <c r="AA177" s="5">
        <f t="shared" si="26"/>
        <v>10.75</v>
      </c>
      <c r="AB177" s="8">
        <f t="shared" si="27"/>
        <v>2.4175276627166018</v>
      </c>
      <c r="AC177" s="7">
        <f t="shared" si="28"/>
        <v>0.22488629420619552</v>
      </c>
      <c r="AD177" s="5"/>
      <c r="AE177" s="5"/>
    </row>
    <row r="178" spans="1:31" ht="111" customHeight="1" x14ac:dyDescent="0.3">
      <c r="A178" s="26">
        <v>174</v>
      </c>
      <c r="B178" s="32">
        <f>'APÊNDICE II-MEMÓRIA DE CÁLCULO'!B179</f>
        <v>12441</v>
      </c>
      <c r="C178" s="33">
        <f>'APÊNDICE II-MEMÓRIA DE CÁLCULO'!C179</f>
        <v>445965</v>
      </c>
      <c r="D178" s="34" t="str">
        <f>'APÊNDICE II-MEMÓRIA DE CÁLCULO'!D179</f>
        <v>Malha tubular ortopédica - dimensões: 10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8" s="33" t="str">
        <f>'APÊNDICE II-MEMÓRIA DE CÁLCULO'!E179</f>
        <v>ROLO</v>
      </c>
      <c r="F178" s="35">
        <f>'APÊNDICE II-MEMÓRIA DE CÁLCULO'!L179</f>
        <v>50</v>
      </c>
      <c r="G178" s="63" t="s">
        <v>809</v>
      </c>
      <c r="H178" s="64">
        <v>3</v>
      </c>
      <c r="I178" s="67">
        <v>15.43</v>
      </c>
      <c r="J178" s="73" t="s">
        <v>810</v>
      </c>
      <c r="K178" s="66">
        <v>1</v>
      </c>
      <c r="L178" s="67">
        <v>10.17</v>
      </c>
      <c r="M178" s="63" t="s">
        <v>639</v>
      </c>
      <c r="N178" s="66">
        <v>1</v>
      </c>
      <c r="O178" s="67">
        <v>9.75</v>
      </c>
      <c r="P178" s="68" t="s">
        <v>406</v>
      </c>
      <c r="Q178" s="66">
        <v>1</v>
      </c>
      <c r="R178" s="67">
        <v>12.12</v>
      </c>
      <c r="S178" s="68" t="s">
        <v>339</v>
      </c>
      <c r="T178" s="66">
        <v>1</v>
      </c>
      <c r="U178" s="67">
        <v>14</v>
      </c>
      <c r="V178" s="37">
        <f t="shared" si="23"/>
        <v>2.1798403611273902</v>
      </c>
      <c r="W178" s="58">
        <f t="shared" si="24"/>
        <v>0.17730928592218889</v>
      </c>
      <c r="X178" s="23">
        <f t="shared" si="31"/>
        <v>13.19</v>
      </c>
      <c r="Y178" s="38">
        <f t="shared" si="22"/>
        <v>659.5</v>
      </c>
      <c r="Z178" s="6">
        <f t="shared" si="25"/>
        <v>11.145</v>
      </c>
      <c r="AA178" s="5">
        <f t="shared" si="26"/>
        <v>12.294</v>
      </c>
      <c r="AB178" s="8">
        <f t="shared" si="27"/>
        <v>2.1798403611273902</v>
      </c>
      <c r="AC178" s="7">
        <f t="shared" si="28"/>
        <v>0.17730928592218889</v>
      </c>
      <c r="AD178" s="5"/>
      <c r="AE178" s="5"/>
    </row>
    <row r="179" spans="1:31" ht="111" customHeight="1" x14ac:dyDescent="0.3">
      <c r="A179" s="26">
        <v>175</v>
      </c>
      <c r="B179" s="32">
        <f>'APÊNDICE II-MEMÓRIA DE CÁLCULO'!B180</f>
        <v>12442</v>
      </c>
      <c r="C179" s="33">
        <f>'APÊNDICE II-MEMÓRIA DE CÁLCULO'!C180</f>
        <v>445969</v>
      </c>
      <c r="D179" s="34" t="str">
        <f>'APÊNDICE II-MEMÓRIA DE CÁLCULO'!D180</f>
        <v>Malha tubular ortopédica - dimensões: 15 cm de largura e 15 m de comprimento, material: 100% algodão, características adicionais: tipo punho simples de malha, com elasticidade adequada, isenta de defeitos, descartável, não estéril e higiênico. Embalagem contendo externamente dados de identificação e procedência, lote e registro em órgão competente.</v>
      </c>
      <c r="E179" s="33" t="str">
        <f>'APÊNDICE II-MEMÓRIA DE CÁLCULO'!E180</f>
        <v>ROLO</v>
      </c>
      <c r="F179" s="35">
        <f>'APÊNDICE II-MEMÓRIA DE CÁLCULO'!L180</f>
        <v>50</v>
      </c>
      <c r="G179" s="63" t="s">
        <v>809</v>
      </c>
      <c r="H179" s="64">
        <v>13</v>
      </c>
      <c r="I179" s="67">
        <v>13.06</v>
      </c>
      <c r="J179" s="73" t="s">
        <v>810</v>
      </c>
      <c r="K179" s="66">
        <v>1</v>
      </c>
      <c r="L179" s="67">
        <v>15.94</v>
      </c>
      <c r="M179" s="63" t="s">
        <v>640</v>
      </c>
      <c r="N179" s="66">
        <v>1</v>
      </c>
      <c r="O179" s="67">
        <v>13.8</v>
      </c>
      <c r="P179" s="68" t="s">
        <v>406</v>
      </c>
      <c r="Q179" s="66">
        <v>1</v>
      </c>
      <c r="R179" s="67">
        <v>18.72</v>
      </c>
      <c r="S179" s="68" t="s">
        <v>351</v>
      </c>
      <c r="T179" s="66">
        <v>1</v>
      </c>
      <c r="U179" s="67">
        <v>18.95</v>
      </c>
      <c r="V179" s="37">
        <f t="shared" si="23"/>
        <v>2.4307990455815096</v>
      </c>
      <c r="W179" s="58">
        <f t="shared" si="24"/>
        <v>0.15103759448126688</v>
      </c>
      <c r="X179" s="23">
        <f t="shared" si="31"/>
        <v>13.95</v>
      </c>
      <c r="Y179" s="38">
        <f t="shared" si="22"/>
        <v>697.5</v>
      </c>
      <c r="Z179" s="6">
        <f t="shared" si="25"/>
        <v>14.870000000000001</v>
      </c>
      <c r="AA179" s="5">
        <f t="shared" si="26"/>
        <v>16.094000000000001</v>
      </c>
      <c r="AB179" s="8">
        <f t="shared" si="27"/>
        <v>2.4307990455815096</v>
      </c>
      <c r="AC179" s="7">
        <f t="shared" si="28"/>
        <v>0.15103759448126688</v>
      </c>
      <c r="AD179" s="5"/>
      <c r="AE179" s="5"/>
    </row>
    <row r="180" spans="1:31" ht="111" customHeight="1" x14ac:dyDescent="0.3">
      <c r="A180" s="26">
        <v>176</v>
      </c>
      <c r="B180" s="32">
        <f>'APÊNDICE II-MEMÓRIA DE CÁLCULO'!B181</f>
        <v>12443</v>
      </c>
      <c r="C180" s="33">
        <f>'APÊNDICE II-MEMÓRIA DE CÁLCULO'!C181</f>
        <v>470275</v>
      </c>
      <c r="D180" s="34" t="str">
        <f>'APÊNDICE II-MEMÓRIA DE CÁLCULO'!D181</f>
        <v xml:space="preserve">Manta térmica - tipo: aluminizada, material: poliéster metalizado, dimensões mínimas: 2,10 x 1,40 m, uso: isolante térmico indicado para o resgate de pacientes quando for necessário manter o calor do corpo, evitando o choque térmico. </v>
      </c>
      <c r="E180" s="33" t="str">
        <f>'APÊNDICE II-MEMÓRIA DE CÁLCULO'!E181</f>
        <v>UNIDADE</v>
      </c>
      <c r="F180" s="35">
        <f>'APÊNDICE II-MEMÓRIA DE CÁLCULO'!L181</f>
        <v>70</v>
      </c>
      <c r="G180" s="63" t="s">
        <v>809</v>
      </c>
      <c r="H180" s="64">
        <v>1</v>
      </c>
      <c r="I180" s="67">
        <v>12</v>
      </c>
      <c r="J180" s="73" t="s">
        <v>810</v>
      </c>
      <c r="K180" s="66">
        <v>3</v>
      </c>
      <c r="L180" s="67">
        <v>12.02</v>
      </c>
      <c r="M180" s="63" t="s">
        <v>411</v>
      </c>
      <c r="N180" s="66">
        <v>1</v>
      </c>
      <c r="O180" s="67">
        <v>11</v>
      </c>
      <c r="P180" s="68" t="s">
        <v>732</v>
      </c>
      <c r="Q180" s="66">
        <v>1</v>
      </c>
      <c r="R180" s="67">
        <v>10.26</v>
      </c>
      <c r="S180" s="68" t="s">
        <v>751</v>
      </c>
      <c r="T180" s="66">
        <v>1</v>
      </c>
      <c r="U180" s="67">
        <v>10</v>
      </c>
      <c r="V180" s="37">
        <f t="shared" si="23"/>
        <v>0.84525972339867217</v>
      </c>
      <c r="W180" s="58">
        <f t="shared" si="24"/>
        <v>7.6452579902195381E-2</v>
      </c>
      <c r="X180" s="23">
        <f t="shared" si="31"/>
        <v>11.33</v>
      </c>
      <c r="Y180" s="38">
        <f t="shared" si="22"/>
        <v>793.1</v>
      </c>
      <c r="Z180" s="6">
        <f t="shared" si="25"/>
        <v>10.629999999999999</v>
      </c>
      <c r="AA180" s="5">
        <f t="shared" si="26"/>
        <v>11.056000000000001</v>
      </c>
      <c r="AB180" s="8">
        <f t="shared" si="27"/>
        <v>0.84525972339867217</v>
      </c>
      <c r="AC180" s="7">
        <f t="shared" si="28"/>
        <v>7.6452579902195381E-2</v>
      </c>
      <c r="AD180" s="5"/>
      <c r="AE180" s="5"/>
    </row>
    <row r="181" spans="1:31" ht="111" customHeight="1" x14ac:dyDescent="0.3">
      <c r="A181" s="26">
        <v>177</v>
      </c>
      <c r="B181" s="32">
        <f>'APÊNDICE II-MEMÓRIA DE CÁLCULO'!B182</f>
        <v>12444</v>
      </c>
      <c r="C181" s="33" t="str">
        <f>'APÊNDICE II-MEMÓRIA DE CÁLCULO'!C182</f>
        <v>-</v>
      </c>
      <c r="D181" s="34" t="str">
        <f>'APÊNDICE II-MEMÓRIA DE CÁLCULO'!D182</f>
        <v>Máscara com reservatório de não reinalação adulto - 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adulto.</v>
      </c>
      <c r="E181" s="33" t="str">
        <f>'APÊNDICE II-MEMÓRIA DE CÁLCULO'!E182</f>
        <v>UNIDADE</v>
      </c>
      <c r="F181" s="35">
        <f>'APÊNDICE II-MEMÓRIA DE CÁLCULO'!L182</f>
        <v>54</v>
      </c>
      <c r="G181" s="25" t="s">
        <v>31</v>
      </c>
      <c r="H181" s="54" t="s">
        <v>31</v>
      </c>
      <c r="I181" s="37" t="s">
        <v>31</v>
      </c>
      <c r="J181" s="73" t="s">
        <v>810</v>
      </c>
      <c r="K181" s="66">
        <v>1</v>
      </c>
      <c r="L181" s="67">
        <v>12</v>
      </c>
      <c r="M181" s="63" t="s">
        <v>641</v>
      </c>
      <c r="N181" s="66">
        <v>1</v>
      </c>
      <c r="O181" s="67">
        <v>17.8</v>
      </c>
      <c r="P181" s="68" t="s">
        <v>386</v>
      </c>
      <c r="Q181" s="66">
        <v>1</v>
      </c>
      <c r="R181" s="67">
        <v>19.02</v>
      </c>
      <c r="S181" s="68" t="s">
        <v>752</v>
      </c>
      <c r="T181" s="66">
        <v>1</v>
      </c>
      <c r="U181" s="67">
        <v>15.26</v>
      </c>
      <c r="V181" s="37">
        <f t="shared" si="23"/>
        <v>2.6882336208001005</v>
      </c>
      <c r="W181" s="58">
        <f t="shared" si="24"/>
        <v>0.16780484524345196</v>
      </c>
      <c r="X181" s="23">
        <f>ROUND(SUM(L181*K181,O181*N181,R181*Q181,U181*T181,)/SUM(K181,N181,Q181,T181,),2)</f>
        <v>16.02</v>
      </c>
      <c r="Y181" s="38">
        <f t="shared" si="22"/>
        <v>865.07999999999993</v>
      </c>
      <c r="Z181" s="6">
        <f t="shared" si="25"/>
        <v>15.26</v>
      </c>
      <c r="AA181" s="5">
        <f t="shared" si="26"/>
        <v>16.02</v>
      </c>
      <c r="AB181" s="8">
        <f t="shared" si="27"/>
        <v>2.6882336208001005</v>
      </c>
      <c r="AC181" s="7">
        <f t="shared" si="28"/>
        <v>0.16780484524345196</v>
      </c>
      <c r="AD181" s="5"/>
      <c r="AE181" s="5"/>
    </row>
    <row r="182" spans="1:31" ht="111" customHeight="1" x14ac:dyDescent="0.3">
      <c r="A182" s="26">
        <v>178</v>
      </c>
      <c r="B182" s="32">
        <f>'APÊNDICE II-MEMÓRIA DE CÁLCULO'!B183</f>
        <v>12445</v>
      </c>
      <c r="C182" s="33" t="str">
        <f>'APÊNDICE II-MEMÓRIA DE CÁLCULO'!C183</f>
        <v>-</v>
      </c>
      <c r="D182" s="34" t="str">
        <f>'APÊNDICE II-MEMÓRIA DE CÁLCULO'!D183</f>
        <v>Máscara com reservatório de não reinalação infantil -Aplicação: Sistema de liberação de oxigênio, em alto fluxo. Máscara de não reinalação; com reservatório; transparente; vinil suave e claro para o conforto do paciente e fácil visualização; completa, com tubo de suprimento de oxigênio de 2,10 m; presilha ajustável de nariz que assegura uma fixação confortável. Válvula de segurança de baixa resistência previne a reutilização do ar expirado e permite o escape de gás exalado; tamanho pediátrico.</v>
      </c>
      <c r="E182" s="33" t="str">
        <f>'APÊNDICE II-MEMÓRIA DE CÁLCULO'!E183</f>
        <v>UNIDADE</v>
      </c>
      <c r="F182" s="35">
        <f>'APÊNDICE II-MEMÓRIA DE CÁLCULO'!L183</f>
        <v>36</v>
      </c>
      <c r="G182" s="63" t="s">
        <v>809</v>
      </c>
      <c r="H182" s="64">
        <v>1</v>
      </c>
      <c r="I182" s="67">
        <v>8.9</v>
      </c>
      <c r="J182" s="73" t="s">
        <v>810</v>
      </c>
      <c r="K182" s="66">
        <v>8</v>
      </c>
      <c r="L182" s="67">
        <v>10.17</v>
      </c>
      <c r="M182" s="63" t="s">
        <v>642</v>
      </c>
      <c r="N182" s="66">
        <v>1</v>
      </c>
      <c r="O182" s="67">
        <v>14.9</v>
      </c>
      <c r="P182" s="68" t="s">
        <v>731</v>
      </c>
      <c r="Q182" s="66">
        <v>1</v>
      </c>
      <c r="R182" s="67">
        <v>13</v>
      </c>
      <c r="S182" s="68" t="s">
        <v>720</v>
      </c>
      <c r="T182" s="66">
        <v>1</v>
      </c>
      <c r="U182" s="67">
        <v>13.5</v>
      </c>
      <c r="V182" s="37">
        <f t="shared" si="23"/>
        <v>2.2169672979094694</v>
      </c>
      <c r="W182" s="58">
        <f t="shared" si="24"/>
        <v>0.18331133602691166</v>
      </c>
      <c r="X182" s="23">
        <f>ROUND(SUM(I182*H182,L182*K182,O182*N182,R182*Q182,U182*T182,)/SUM(H182,K182,N182,Q182,T182,),2)</f>
        <v>10.97</v>
      </c>
      <c r="Y182" s="38">
        <f t="shared" si="22"/>
        <v>394.92</v>
      </c>
      <c r="Z182" s="6">
        <f t="shared" si="25"/>
        <v>11.585000000000001</v>
      </c>
      <c r="AA182" s="5">
        <f t="shared" si="26"/>
        <v>12.093999999999999</v>
      </c>
      <c r="AB182" s="8">
        <f t="shared" si="27"/>
        <v>2.2169672979094694</v>
      </c>
      <c r="AC182" s="7">
        <f t="shared" si="28"/>
        <v>0.18331133602691166</v>
      </c>
      <c r="AD182" s="5"/>
      <c r="AE182" s="5"/>
    </row>
    <row r="183" spans="1:31" ht="111" customHeight="1" x14ac:dyDescent="0.3">
      <c r="A183" s="26">
        <v>179</v>
      </c>
      <c r="B183" s="32">
        <f>'APÊNDICE II-MEMÓRIA DE CÁLCULO'!B184</f>
        <v>12446</v>
      </c>
      <c r="C183" s="33" t="str">
        <f>'APÊNDICE II-MEMÓRIA DE CÁLCULO'!C184</f>
        <v>-</v>
      </c>
      <c r="D183" s="34" t="str">
        <f>'APÊNDICE II-MEMÓRIA DE CÁLCULO'!D184</f>
        <v>Máscara facial protetora - modelo: face shield, material: pet e polipropileno, esterilidade: esterilizável, características adicionais: com visor transparente, ajustável, com cinta e testeira, tamanho: único, características adicionais: com registro em órgão competente.</v>
      </c>
      <c r="E183" s="33" t="str">
        <f>'APÊNDICE II-MEMÓRIA DE CÁLCULO'!E184</f>
        <v>UNIDADE</v>
      </c>
      <c r="F183" s="35">
        <f>'APÊNDICE II-MEMÓRIA DE CÁLCULO'!L184</f>
        <v>20</v>
      </c>
      <c r="G183" s="63" t="s">
        <v>809</v>
      </c>
      <c r="H183" s="64">
        <v>1</v>
      </c>
      <c r="I183" s="67">
        <v>7.1</v>
      </c>
      <c r="J183" s="56" t="s">
        <v>31</v>
      </c>
      <c r="K183" s="55" t="s">
        <v>31</v>
      </c>
      <c r="L183" s="37" t="s">
        <v>31</v>
      </c>
      <c r="M183" s="63" t="s">
        <v>526</v>
      </c>
      <c r="N183" s="66">
        <v>1</v>
      </c>
      <c r="O183" s="67">
        <v>9.8000000000000007</v>
      </c>
      <c r="P183" s="68" t="s">
        <v>753</v>
      </c>
      <c r="Q183" s="66">
        <v>1</v>
      </c>
      <c r="R183" s="67">
        <v>9.36</v>
      </c>
      <c r="S183" s="68" t="s">
        <v>754</v>
      </c>
      <c r="T183" s="66">
        <v>1</v>
      </c>
      <c r="U183" s="67">
        <v>9</v>
      </c>
      <c r="V183" s="37">
        <f t="shared" si="23"/>
        <v>1.0298907709072858</v>
      </c>
      <c r="W183" s="58">
        <f t="shared" si="24"/>
        <v>0.11683389346651002</v>
      </c>
      <c r="X183" s="23">
        <f>ROUND(SUM(I183*H183,O183*N183,R183*Q183,U183*T183,)/SUM(H183,N183,Q183,T183,),2)</f>
        <v>8.82</v>
      </c>
      <c r="Y183" s="38">
        <f t="shared" si="22"/>
        <v>176.4</v>
      </c>
      <c r="Z183" s="6">
        <f t="shared" si="25"/>
        <v>9</v>
      </c>
      <c r="AA183" s="5">
        <f t="shared" si="26"/>
        <v>8.8149999999999995</v>
      </c>
      <c r="AB183" s="8">
        <f t="shared" si="27"/>
        <v>1.0298907709072858</v>
      </c>
      <c r="AC183" s="7">
        <f t="shared" si="28"/>
        <v>0.11683389346651002</v>
      </c>
      <c r="AD183" s="5"/>
      <c r="AE183" s="5"/>
    </row>
    <row r="184" spans="1:31" ht="111" customHeight="1" x14ac:dyDescent="0.3">
      <c r="A184" s="26">
        <v>180</v>
      </c>
      <c r="B184" s="32">
        <f>'APÊNDICE II-MEMÓRIA DE CÁLCULO'!B185</f>
        <v>12447</v>
      </c>
      <c r="C184" s="33">
        <f>'APÊNDICE II-MEMÓRIA DE CÁLCULO'!C185</f>
        <v>221035</v>
      </c>
      <c r="D184" s="34" t="str">
        <f>'APÊNDICE II-MEMÓRIA DE CÁLCULO'!D185</f>
        <v>Macacão de segurança - tipo: de proteção impermeável, tamanho: médio, material: não-tecido de polipropileno laminado (TNT) impermeáve, características adicionais: confeccionado com zíper na parte frontal, elásticos nos punhos, cintura, tornozelos e capuz, não acompanha máscara, bota e luva, com registro em órgão competente.</v>
      </c>
      <c r="E184" s="33" t="str">
        <f>'APÊNDICE II-MEMÓRIA DE CÁLCULO'!E185</f>
        <v>UNIDADE</v>
      </c>
      <c r="F184" s="35">
        <f>'APÊNDICE II-MEMÓRIA DE CÁLCULO'!L185</f>
        <v>10</v>
      </c>
      <c r="G184" s="63" t="s">
        <v>809</v>
      </c>
      <c r="H184" s="64">
        <v>3</v>
      </c>
      <c r="I184" s="67">
        <v>41.12</v>
      </c>
      <c r="J184" s="56" t="s">
        <v>31</v>
      </c>
      <c r="K184" s="55" t="s">
        <v>31</v>
      </c>
      <c r="L184" s="37" t="s">
        <v>31</v>
      </c>
      <c r="M184" s="63" t="s">
        <v>527</v>
      </c>
      <c r="N184" s="66">
        <v>1</v>
      </c>
      <c r="O184" s="67">
        <v>50</v>
      </c>
      <c r="P184" s="68" t="s">
        <v>755</v>
      </c>
      <c r="Q184" s="66">
        <v>1</v>
      </c>
      <c r="R184" s="67">
        <v>59.9</v>
      </c>
      <c r="S184" s="68" t="s">
        <v>756</v>
      </c>
      <c r="T184" s="66">
        <v>1</v>
      </c>
      <c r="U184" s="67">
        <v>50</v>
      </c>
      <c r="V184" s="37">
        <f t="shared" si="23"/>
        <v>6.6446275290643468</v>
      </c>
      <c r="W184" s="58">
        <f t="shared" si="24"/>
        <v>0.13221823756968154</v>
      </c>
      <c r="X184" s="23">
        <f>ROUND(SUM(I184*H184,O184*N184,R184*Q184,U184*T184,)/SUM(H184,N184,Q184,T184,),2)</f>
        <v>47.21</v>
      </c>
      <c r="Y184" s="38">
        <f t="shared" si="22"/>
        <v>472.1</v>
      </c>
      <c r="Z184" s="6">
        <f t="shared" si="25"/>
        <v>50</v>
      </c>
      <c r="AA184" s="5">
        <f t="shared" si="26"/>
        <v>50.255000000000003</v>
      </c>
      <c r="AB184" s="8">
        <f t="shared" si="27"/>
        <v>6.6446275290643468</v>
      </c>
      <c r="AC184" s="7">
        <f t="shared" si="28"/>
        <v>0.13221823756968154</v>
      </c>
      <c r="AD184" s="5"/>
      <c r="AE184" s="5"/>
    </row>
    <row r="185" spans="1:31" ht="111" customHeight="1" x14ac:dyDescent="0.3">
      <c r="A185" s="26">
        <v>181</v>
      </c>
      <c r="B185" s="32">
        <f>'APÊNDICE II-MEMÓRIA DE CÁLCULO'!B186</f>
        <v>12448</v>
      </c>
      <c r="C185" s="33">
        <f>'APÊNDICE II-MEMÓRIA DE CÁLCULO'!C186</f>
        <v>221037</v>
      </c>
      <c r="D185" s="34" t="str">
        <f>'APÊNDICE II-MEMÓRIA DE CÁLCULO'!D186</f>
        <v>Macacão de segurança - tipo: de proteção impermeável, tamanho: grande, material: não-tecido de polipropileno laminado (TNT) impermeáve, características adicionais: confeccionado com zíper na parte frontal, elásticos nos punhos, cintura, tornozelos e capuz, não acompanha máscara, bota e luva, com registro em órgão competente.</v>
      </c>
      <c r="E185" s="33" t="str">
        <f>'APÊNDICE II-MEMÓRIA DE CÁLCULO'!E186</f>
        <v>UNIDADE</v>
      </c>
      <c r="F185" s="35">
        <f>'APÊNDICE II-MEMÓRIA DE CÁLCULO'!L186</f>
        <v>10</v>
      </c>
      <c r="G185" s="63" t="s">
        <v>809</v>
      </c>
      <c r="H185" s="64">
        <v>3</v>
      </c>
      <c r="I185" s="67">
        <v>41.12</v>
      </c>
      <c r="J185" s="56" t="s">
        <v>31</v>
      </c>
      <c r="K185" s="55" t="s">
        <v>31</v>
      </c>
      <c r="L185" s="37" t="s">
        <v>31</v>
      </c>
      <c r="M185" s="63" t="s">
        <v>528</v>
      </c>
      <c r="N185" s="66">
        <v>1</v>
      </c>
      <c r="O185" s="67">
        <v>57</v>
      </c>
      <c r="P185" s="68" t="s">
        <v>757</v>
      </c>
      <c r="Q185" s="66">
        <v>1</v>
      </c>
      <c r="R185" s="67">
        <v>60.23</v>
      </c>
      <c r="S185" s="68" t="s">
        <v>758</v>
      </c>
      <c r="T185" s="66">
        <v>1</v>
      </c>
      <c r="U185" s="67">
        <v>44.9</v>
      </c>
      <c r="V185" s="37">
        <f t="shared" si="23"/>
        <v>7.9980728147473048</v>
      </c>
      <c r="W185" s="58">
        <f t="shared" si="24"/>
        <v>0.15740364703069726</v>
      </c>
      <c r="X185" s="23">
        <f>ROUND(SUM(I185*H185,O185*N185,R185*Q185,U185*T185,)/SUM(H185,N185,Q185,T185,),2)</f>
        <v>47.58</v>
      </c>
      <c r="Y185" s="38">
        <f t="shared" si="22"/>
        <v>475.79999999999995</v>
      </c>
      <c r="Z185" s="6">
        <f t="shared" si="25"/>
        <v>44.9</v>
      </c>
      <c r="AA185" s="5">
        <f t="shared" si="26"/>
        <v>50.8125</v>
      </c>
      <c r="AB185" s="8">
        <f t="shared" si="27"/>
        <v>7.9980728147473048</v>
      </c>
      <c r="AC185" s="7">
        <f t="shared" si="28"/>
        <v>0.15740364703069726</v>
      </c>
      <c r="AD185" s="5"/>
      <c r="AE185" s="5"/>
    </row>
    <row r="186" spans="1:31" ht="111" customHeight="1" x14ac:dyDescent="0.3">
      <c r="A186" s="26">
        <v>182</v>
      </c>
      <c r="B186" s="32">
        <f>'APÊNDICE II-MEMÓRIA DE CÁLCULO'!B187</f>
        <v>12449</v>
      </c>
      <c r="C186" s="33" t="str">
        <f>'APÊNDICE II-MEMÓRIA DE CÁLCULO'!C187</f>
        <v>-</v>
      </c>
      <c r="D186" s="34" t="str">
        <f>'APÊNDICE II-MEMÓRIA DE CÁLCULO'!D187</f>
        <v>Macacão de segurança - tipo: de proteção impermeável, tamanho: XG, material: não-tecido de polipropileno laminado (TNT) impermeáve, características adicionais: confeccionado com zíper na parte frontal, elásticos nos punhos, cintura, tornozelos e capuz, não acompanha máscara, bota e luva, com registro em órgão competente.</v>
      </c>
      <c r="E186" s="33" t="str">
        <f>'APÊNDICE II-MEMÓRIA DE CÁLCULO'!E187</f>
        <v>UNIDADE</v>
      </c>
      <c r="F186" s="35">
        <f>'APÊNDICE II-MEMÓRIA DE CÁLCULO'!L187</f>
        <v>10</v>
      </c>
      <c r="G186" s="25" t="s">
        <v>31</v>
      </c>
      <c r="H186" s="54" t="s">
        <v>31</v>
      </c>
      <c r="I186" s="37" t="s">
        <v>31</v>
      </c>
      <c r="J186" s="56" t="s">
        <v>31</v>
      </c>
      <c r="K186" s="55" t="s">
        <v>31</v>
      </c>
      <c r="L186" s="37" t="s">
        <v>31</v>
      </c>
      <c r="M186" s="63" t="s">
        <v>529</v>
      </c>
      <c r="N186" s="66">
        <v>1</v>
      </c>
      <c r="O186" s="67">
        <v>58</v>
      </c>
      <c r="P186" s="68" t="s">
        <v>826</v>
      </c>
      <c r="Q186" s="66">
        <v>1</v>
      </c>
      <c r="R186" s="67">
        <v>38.51</v>
      </c>
      <c r="S186" s="68" t="s">
        <v>827</v>
      </c>
      <c r="T186" s="66">
        <v>1</v>
      </c>
      <c r="U186" s="67">
        <v>35.71</v>
      </c>
      <c r="V186" s="37">
        <f t="shared" si="23"/>
        <v>9.9137625999863701</v>
      </c>
      <c r="W186" s="58">
        <f t="shared" si="24"/>
        <v>0.22493788988019295</v>
      </c>
      <c r="X186" s="23">
        <f>ROUND(SUM(O186*N186,R186*Q186,U186*T186,)/SUM(N186,Q186,T186,),2)</f>
        <v>44.07</v>
      </c>
      <c r="Y186" s="38">
        <f t="shared" si="22"/>
        <v>440.7</v>
      </c>
      <c r="Z186" s="6">
        <f t="shared" si="25"/>
        <v>37.11</v>
      </c>
      <c r="AA186" s="5">
        <f t="shared" si="26"/>
        <v>44.073333333333331</v>
      </c>
      <c r="AB186" s="8">
        <f t="shared" si="27"/>
        <v>9.9137625999863701</v>
      </c>
      <c r="AC186" s="7">
        <f t="shared" si="28"/>
        <v>0.22493788988019295</v>
      </c>
      <c r="AD186" s="5"/>
      <c r="AE186" s="5"/>
    </row>
    <row r="187" spans="1:31" ht="111" customHeight="1" x14ac:dyDescent="0.3">
      <c r="A187" s="26">
        <v>183</v>
      </c>
      <c r="B187" s="32">
        <f>'APÊNDICE II-MEMÓRIA DE CÁLCULO'!B188</f>
        <v>12450</v>
      </c>
      <c r="C187" s="33">
        <f>'APÊNDICE II-MEMÓRIA DE CÁLCULO'!C188</f>
        <v>403572</v>
      </c>
      <c r="D187" s="34" t="str">
        <f>'APÊNDICE II-MEMÓRIA DE CÁLCULO'!D188</f>
        <v>Maca de resgate - tipo: prancha, material: polietileno, capacidade de carga: até 120 KG, componentes: com cintos, pegadores amplos, rígida, leve e confortável.</v>
      </c>
      <c r="E187" s="33" t="str">
        <f>'APÊNDICE II-MEMÓRIA DE CÁLCULO'!E188</f>
        <v>UNIDADE</v>
      </c>
      <c r="F187" s="35">
        <f>'APÊNDICE II-MEMÓRIA DE CÁLCULO'!L188</f>
        <v>3</v>
      </c>
      <c r="G187" s="63" t="s">
        <v>809</v>
      </c>
      <c r="H187" s="64">
        <v>1</v>
      </c>
      <c r="I187" s="67">
        <v>478.4</v>
      </c>
      <c r="J187" s="73" t="s">
        <v>810</v>
      </c>
      <c r="K187" s="66">
        <v>1</v>
      </c>
      <c r="L187" s="67">
        <v>401.06</v>
      </c>
      <c r="M187" s="63" t="s">
        <v>530</v>
      </c>
      <c r="N187" s="66">
        <v>1</v>
      </c>
      <c r="O187" s="67">
        <v>493</v>
      </c>
      <c r="P187" s="68" t="s">
        <v>402</v>
      </c>
      <c r="Q187" s="66">
        <v>1</v>
      </c>
      <c r="R187" s="67">
        <v>425</v>
      </c>
      <c r="S187" s="68" t="s">
        <v>373</v>
      </c>
      <c r="T187" s="66">
        <v>1</v>
      </c>
      <c r="U187" s="67">
        <v>402.99</v>
      </c>
      <c r="V187" s="37">
        <f t="shared" si="23"/>
        <v>38.456685244570927</v>
      </c>
      <c r="W187" s="58">
        <f t="shared" si="24"/>
        <v>8.7383683438775991E-2</v>
      </c>
      <c r="X187" s="23">
        <f t="shared" ref="X187:X193" si="32">ROUND(SUM(I187*H187,L187*K187,O187*N187,R187*Q187,U187*T187,)/SUM(H187,K187,N187,Q187,T187,),2)</f>
        <v>440.09</v>
      </c>
      <c r="Y187" s="38">
        <f t="shared" si="22"/>
        <v>1320.27</v>
      </c>
      <c r="Z187" s="6">
        <f t="shared" si="25"/>
        <v>413.995</v>
      </c>
      <c r="AA187" s="5">
        <f t="shared" si="26"/>
        <v>440.09000000000003</v>
      </c>
      <c r="AB187" s="8">
        <f t="shared" si="27"/>
        <v>38.456685244570927</v>
      </c>
      <c r="AC187" s="7">
        <f t="shared" si="28"/>
        <v>8.7383683438775991E-2</v>
      </c>
      <c r="AD187" s="5"/>
      <c r="AE187" s="5"/>
    </row>
    <row r="188" spans="1:31" ht="111" customHeight="1" x14ac:dyDescent="0.3">
      <c r="A188" s="26">
        <v>184</v>
      </c>
      <c r="B188" s="32">
        <f>'APÊNDICE II-MEMÓRIA DE CÁLCULO'!B189</f>
        <v>12451</v>
      </c>
      <c r="C188" s="33">
        <f>'APÊNDICE II-MEMÓRIA DE CÁLCULO'!C189</f>
        <v>411867</v>
      </c>
      <c r="D188" s="34" t="str">
        <f>'APÊNDICE II-MEMÓRIA DE CÁLCULO'!D189</f>
        <v xml:space="preserve">Maca de resgate - tipo: prancha, material: polietileno, capacidade de carga: mínimo de 150 KG, componentes: com cintos, pegadores amplos, rígida, leve e confortável, dimensões mínimas: 40 cm de largura. </v>
      </c>
      <c r="E188" s="33" t="str">
        <f>'APÊNDICE II-MEMÓRIA DE CÁLCULO'!E189</f>
        <v>UNIDADE</v>
      </c>
      <c r="F188" s="35">
        <f>'APÊNDICE II-MEMÓRIA DE CÁLCULO'!L189</f>
        <v>3</v>
      </c>
      <c r="G188" s="63" t="s">
        <v>809</v>
      </c>
      <c r="H188" s="64">
        <v>1</v>
      </c>
      <c r="I188" s="67">
        <v>540</v>
      </c>
      <c r="J188" s="73" t="s">
        <v>810</v>
      </c>
      <c r="K188" s="66">
        <v>1</v>
      </c>
      <c r="L188" s="67">
        <v>575</v>
      </c>
      <c r="M188" s="63" t="s">
        <v>531</v>
      </c>
      <c r="N188" s="66">
        <v>1</v>
      </c>
      <c r="O188" s="67">
        <v>606</v>
      </c>
      <c r="P188" s="68" t="s">
        <v>731</v>
      </c>
      <c r="Q188" s="66">
        <v>1</v>
      </c>
      <c r="R188" s="67">
        <v>425</v>
      </c>
      <c r="S188" s="68" t="s">
        <v>402</v>
      </c>
      <c r="T188" s="66">
        <v>1</v>
      </c>
      <c r="U188" s="67">
        <v>425</v>
      </c>
      <c r="V188" s="37">
        <f t="shared" si="23"/>
        <v>75.766483355108946</v>
      </c>
      <c r="W188" s="58">
        <f t="shared" si="24"/>
        <v>0.14734827568088085</v>
      </c>
      <c r="X188" s="23">
        <f t="shared" si="32"/>
        <v>514.20000000000005</v>
      </c>
      <c r="Y188" s="38">
        <f t="shared" si="22"/>
        <v>1542.6000000000001</v>
      </c>
      <c r="Z188" s="6">
        <f t="shared" si="25"/>
        <v>482.5</v>
      </c>
      <c r="AA188" s="5">
        <f t="shared" si="26"/>
        <v>514.20000000000005</v>
      </c>
      <c r="AB188" s="8">
        <f t="shared" si="27"/>
        <v>75.766483355108946</v>
      </c>
      <c r="AC188" s="7">
        <f t="shared" si="28"/>
        <v>0.14734827568088085</v>
      </c>
      <c r="AD188" s="5"/>
      <c r="AE188" s="5"/>
    </row>
    <row r="189" spans="1:31" ht="111" customHeight="1" x14ac:dyDescent="0.3">
      <c r="A189" s="26">
        <v>185</v>
      </c>
      <c r="B189" s="32">
        <f>'APÊNDICE II-MEMÓRIA DE CÁLCULO'!B190</f>
        <v>12452</v>
      </c>
      <c r="C189" s="33">
        <f>'APÊNDICE II-MEMÓRIA DE CÁLCULO'!C190</f>
        <v>244064</v>
      </c>
      <c r="D189" s="34" t="str">
        <f>'APÊNDICE II-MEMÓRIA DE CÁLCULO'!D190</f>
        <v xml:space="preserve">Óculos para proteção individual - cor da lente: incolor (transparente), material: em acrílico cristal (incolor), características adicionais: resistente a desinfecções, que permita boa visibilidade, haste dobráveis. </v>
      </c>
      <c r="E189" s="33" t="str">
        <f>'APÊNDICE II-MEMÓRIA DE CÁLCULO'!E190</f>
        <v>UNIDADE</v>
      </c>
      <c r="F189" s="35">
        <f>'APÊNDICE II-MEMÓRIA DE CÁLCULO'!L190</f>
        <v>10</v>
      </c>
      <c r="G189" s="63" t="s">
        <v>809</v>
      </c>
      <c r="H189" s="64">
        <v>1</v>
      </c>
      <c r="I189" s="67">
        <v>2.35</v>
      </c>
      <c r="J189" s="73" t="s">
        <v>810</v>
      </c>
      <c r="K189" s="66">
        <v>2</v>
      </c>
      <c r="L189" s="67">
        <v>2.65</v>
      </c>
      <c r="M189" s="63" t="s">
        <v>598</v>
      </c>
      <c r="N189" s="66">
        <v>1</v>
      </c>
      <c r="O189" s="67">
        <v>2.39</v>
      </c>
      <c r="P189" s="68" t="s">
        <v>759</v>
      </c>
      <c r="Q189" s="66">
        <v>1</v>
      </c>
      <c r="R189" s="67">
        <v>3.49</v>
      </c>
      <c r="S189" s="68" t="s">
        <v>760</v>
      </c>
      <c r="T189" s="66">
        <v>1</v>
      </c>
      <c r="U189" s="67">
        <v>3.96</v>
      </c>
      <c r="V189" s="37">
        <f t="shared" si="23"/>
        <v>0.64399999999999846</v>
      </c>
      <c r="W189" s="58">
        <f t="shared" si="24"/>
        <v>0.21698113207547115</v>
      </c>
      <c r="X189" s="23">
        <f t="shared" si="32"/>
        <v>2.92</v>
      </c>
      <c r="Y189" s="38">
        <f t="shared" si="22"/>
        <v>29.2</v>
      </c>
      <c r="Z189" s="6">
        <f t="shared" si="25"/>
        <v>2.52</v>
      </c>
      <c r="AA189" s="5">
        <f t="shared" si="26"/>
        <v>2.9680000000000004</v>
      </c>
      <c r="AB189" s="8">
        <f t="shared" si="27"/>
        <v>0.64399999999999846</v>
      </c>
      <c r="AC189" s="7">
        <f t="shared" si="28"/>
        <v>0.21698113207547115</v>
      </c>
      <c r="AD189" s="5"/>
      <c r="AE189" s="5"/>
    </row>
    <row r="190" spans="1:31" ht="111" customHeight="1" x14ac:dyDescent="0.3">
      <c r="A190" s="26">
        <v>186</v>
      </c>
      <c r="B190" s="32">
        <f>'APÊNDICE II-MEMÓRIA DE CÁLCULO'!B191</f>
        <v>12453</v>
      </c>
      <c r="C190" s="33">
        <f>'APÊNDICE II-MEMÓRIA DE CÁLCULO'!C191</f>
        <v>150685</v>
      </c>
      <c r="D190" s="34" t="str">
        <f>'APÊNDICE II-MEMÓRIA DE CÁLCULO'!D191</f>
        <v xml:space="preserve">Oxímetro digital - tipo: portátil, tipo uso: neonatal, características adicionais: medidor de pulsação, oxigenação e saturação no sangue, alimentado por pilha, de baixo consumo, visor em LED. </v>
      </c>
      <c r="E190" s="33" t="str">
        <f>'APÊNDICE II-MEMÓRIA DE CÁLCULO'!E191</f>
        <v>UNIDADE</v>
      </c>
      <c r="F190" s="35">
        <f>'APÊNDICE II-MEMÓRIA DE CÁLCULO'!L191</f>
        <v>30</v>
      </c>
      <c r="G190" s="63" t="s">
        <v>809</v>
      </c>
      <c r="H190" s="64">
        <v>1</v>
      </c>
      <c r="I190" s="67">
        <v>85</v>
      </c>
      <c r="J190" s="73" t="s">
        <v>810</v>
      </c>
      <c r="K190" s="66">
        <v>1</v>
      </c>
      <c r="L190" s="67">
        <v>78</v>
      </c>
      <c r="M190" s="63" t="s">
        <v>541</v>
      </c>
      <c r="N190" s="66">
        <v>1</v>
      </c>
      <c r="O190" s="67">
        <v>85.97</v>
      </c>
      <c r="P190" s="68" t="s">
        <v>761</v>
      </c>
      <c r="Q190" s="66">
        <v>1</v>
      </c>
      <c r="R190" s="67">
        <v>86.32</v>
      </c>
      <c r="S190" s="68" t="s">
        <v>762</v>
      </c>
      <c r="T190" s="66">
        <v>1</v>
      </c>
      <c r="U190" s="67">
        <v>99.9</v>
      </c>
      <c r="V190" s="37">
        <f t="shared" si="23"/>
        <v>7.1123284513582483</v>
      </c>
      <c r="W190" s="58">
        <f t="shared" si="24"/>
        <v>8.1715210038813504E-2</v>
      </c>
      <c r="X190" s="23">
        <f t="shared" si="32"/>
        <v>87.04</v>
      </c>
      <c r="Y190" s="38">
        <f t="shared" si="22"/>
        <v>2611.2000000000003</v>
      </c>
      <c r="Z190" s="6">
        <f t="shared" si="25"/>
        <v>85.484999999999999</v>
      </c>
      <c r="AA190" s="5">
        <f t="shared" si="26"/>
        <v>87.037999999999982</v>
      </c>
      <c r="AB190" s="8">
        <f t="shared" si="27"/>
        <v>7.1123284513582483</v>
      </c>
      <c r="AC190" s="7">
        <f t="shared" si="28"/>
        <v>8.1715210038813504E-2</v>
      </c>
      <c r="AD190" s="5"/>
      <c r="AE190" s="5"/>
    </row>
    <row r="191" spans="1:31" ht="111" customHeight="1" x14ac:dyDescent="0.3">
      <c r="A191" s="26">
        <v>187</v>
      </c>
      <c r="B191" s="32">
        <f>'APÊNDICE II-MEMÓRIA DE CÁLCULO'!B192</f>
        <v>12454</v>
      </c>
      <c r="C191" s="33">
        <f>'APÊNDICE II-MEMÓRIA DE CÁLCULO'!C192</f>
        <v>224806</v>
      </c>
      <c r="D191" s="34" t="str">
        <f>'APÊNDICE II-MEMÓRIA DE CÁLCULO'!D192</f>
        <v xml:space="preserve">Oxímetro digital de pulso - tipo: portátil, características adicionais: medidor de pulsação e oxigenação, alimentado por pilha, de baixo consumo, acompanha capa protetora em silicone e estojo para armazenamento, visor em LED. </v>
      </c>
      <c r="E191" s="33" t="str">
        <f>'APÊNDICE II-MEMÓRIA DE CÁLCULO'!E192</f>
        <v>UNIDADE</v>
      </c>
      <c r="F191" s="35">
        <f>'APÊNDICE II-MEMÓRIA DE CÁLCULO'!L192</f>
        <v>20</v>
      </c>
      <c r="G191" s="63" t="s">
        <v>809</v>
      </c>
      <c r="H191" s="64">
        <v>1</v>
      </c>
      <c r="I191" s="67">
        <v>60</v>
      </c>
      <c r="J191" s="73" t="s">
        <v>810</v>
      </c>
      <c r="K191" s="66">
        <v>2</v>
      </c>
      <c r="L191" s="67">
        <v>67.989999999999995</v>
      </c>
      <c r="M191" s="63" t="s">
        <v>599</v>
      </c>
      <c r="N191" s="66">
        <v>1</v>
      </c>
      <c r="O191" s="67">
        <v>69.5</v>
      </c>
      <c r="P191" s="68" t="s">
        <v>357</v>
      </c>
      <c r="Q191" s="66">
        <v>1</v>
      </c>
      <c r="R191" s="67">
        <v>82.99</v>
      </c>
      <c r="S191" s="68" t="s">
        <v>763</v>
      </c>
      <c r="T191" s="66">
        <v>1</v>
      </c>
      <c r="U191" s="67">
        <v>99.9</v>
      </c>
      <c r="V191" s="37">
        <f t="shared" si="23"/>
        <v>14.017498492955186</v>
      </c>
      <c r="W191" s="58">
        <f t="shared" si="24"/>
        <v>0.18425651313101618</v>
      </c>
      <c r="X191" s="23">
        <f t="shared" si="32"/>
        <v>74.73</v>
      </c>
      <c r="Y191" s="38">
        <f t="shared" si="22"/>
        <v>1494.6000000000001</v>
      </c>
      <c r="Z191" s="6">
        <f t="shared" si="25"/>
        <v>68.745000000000005</v>
      </c>
      <c r="AA191" s="5">
        <f t="shared" si="26"/>
        <v>76.075999999999993</v>
      </c>
      <c r="AB191" s="8">
        <f t="shared" si="27"/>
        <v>14.017498492955186</v>
      </c>
      <c r="AC191" s="7">
        <f t="shared" si="28"/>
        <v>0.18425651313101618</v>
      </c>
      <c r="AD191" s="5"/>
      <c r="AE191" s="5"/>
    </row>
    <row r="192" spans="1:31" ht="111" customHeight="1" x14ac:dyDescent="0.3">
      <c r="A192" s="26">
        <v>188</v>
      </c>
      <c r="B192" s="32">
        <f>'APÊNDICE II-MEMÓRIA DE CÁLCULO'!B193</f>
        <v>12455</v>
      </c>
      <c r="C192" s="33">
        <f>'APÊNDICE II-MEMÓRIA DE CÁLCULO'!C193</f>
        <v>467833</v>
      </c>
      <c r="D192" s="34" t="str">
        <f>'APÊNDICE II-MEMÓRIA DE CÁLCULO'!D193</f>
        <v>Pinça cirúrgica - modelo: Kelly, comprimento total: 14 cm, material: aço inoxidável, formato da ponta: reta, com serrilha, características adicionais: esterilizável, com registro ANVISA.</v>
      </c>
      <c r="E192" s="33" t="str">
        <f>'APÊNDICE II-MEMÓRIA DE CÁLCULO'!E193</f>
        <v>UNIDADE</v>
      </c>
      <c r="F192" s="35">
        <f>'APÊNDICE II-MEMÓRIA DE CÁLCULO'!L193</f>
        <v>10</v>
      </c>
      <c r="G192" s="63" t="s">
        <v>809</v>
      </c>
      <c r="H192" s="64">
        <v>3</v>
      </c>
      <c r="I192" s="67">
        <v>30</v>
      </c>
      <c r="J192" s="73" t="s">
        <v>810</v>
      </c>
      <c r="K192" s="66">
        <v>6</v>
      </c>
      <c r="L192" s="67">
        <v>31.3</v>
      </c>
      <c r="M192" s="63" t="s">
        <v>459</v>
      </c>
      <c r="N192" s="66">
        <v>1</v>
      </c>
      <c r="O192" s="67">
        <v>41.8</v>
      </c>
      <c r="P192" s="68" t="s">
        <v>764</v>
      </c>
      <c r="Q192" s="66">
        <v>1</v>
      </c>
      <c r="R192" s="67">
        <v>45</v>
      </c>
      <c r="S192" s="68" t="s">
        <v>765</v>
      </c>
      <c r="T192" s="66">
        <v>1</v>
      </c>
      <c r="U192" s="67">
        <v>28.9</v>
      </c>
      <c r="V192" s="37">
        <f t="shared" si="23"/>
        <v>6.6534201731139664</v>
      </c>
      <c r="W192" s="58">
        <f t="shared" si="24"/>
        <v>0.18794972240434935</v>
      </c>
      <c r="X192" s="23">
        <f t="shared" si="32"/>
        <v>32.79</v>
      </c>
      <c r="Y192" s="38">
        <f t="shared" si="22"/>
        <v>327.9</v>
      </c>
      <c r="Z192" s="6">
        <f t="shared" si="25"/>
        <v>30.65</v>
      </c>
      <c r="AA192" s="5">
        <f t="shared" si="26"/>
        <v>35.4</v>
      </c>
      <c r="AB192" s="8">
        <f t="shared" si="27"/>
        <v>6.6534201731139664</v>
      </c>
      <c r="AC192" s="7">
        <f t="shared" si="28"/>
        <v>0.18794972240434935</v>
      </c>
      <c r="AD192" s="5"/>
      <c r="AE192" s="5"/>
    </row>
    <row r="193" spans="1:31" ht="111" customHeight="1" x14ac:dyDescent="0.3">
      <c r="A193" s="26">
        <v>189</v>
      </c>
      <c r="B193" s="32">
        <f>'APÊNDICE II-MEMÓRIA DE CÁLCULO'!B194</f>
        <v>12456</v>
      </c>
      <c r="C193" s="33">
        <f>'APÊNDICE II-MEMÓRIA DE CÁLCULO'!C194</f>
        <v>467747</v>
      </c>
      <c r="D193" s="34" t="str">
        <f>'APÊNDICE II-MEMÓRIA DE CÁLCULO'!D194</f>
        <v xml:space="preserve">Pinça anatômica - modelo: dissecção, comprimento total: cerca de 18 cm, material: em aço inoxidável 304, formato da ponta: ponta reta serrilhada, esterilidade: esterilizável, características: para uso geral, embalagem contendo externamente dados de identificação,  procedência, lote, e registro em orgão competente. </v>
      </c>
      <c r="E193" s="33" t="str">
        <f>'APÊNDICE II-MEMÓRIA DE CÁLCULO'!E194</f>
        <v>UNIDADE</v>
      </c>
      <c r="F193" s="35">
        <f>'APÊNDICE II-MEMÓRIA DE CÁLCULO'!L194</f>
        <v>10</v>
      </c>
      <c r="G193" s="63" t="s">
        <v>809</v>
      </c>
      <c r="H193" s="64">
        <v>1</v>
      </c>
      <c r="I193" s="67">
        <v>42.5</v>
      </c>
      <c r="J193" s="73" t="s">
        <v>810</v>
      </c>
      <c r="K193" s="66">
        <v>2</v>
      </c>
      <c r="L193" s="67">
        <v>42.78</v>
      </c>
      <c r="M193" s="63" t="s">
        <v>460</v>
      </c>
      <c r="N193" s="66">
        <v>1</v>
      </c>
      <c r="O193" s="67">
        <v>29</v>
      </c>
      <c r="P193" s="68" t="s">
        <v>766</v>
      </c>
      <c r="Q193" s="66">
        <v>1</v>
      </c>
      <c r="R193" s="67">
        <v>33.25</v>
      </c>
      <c r="S193" s="68" t="s">
        <v>767</v>
      </c>
      <c r="T193" s="66">
        <v>1</v>
      </c>
      <c r="U193" s="67">
        <v>38.35</v>
      </c>
      <c r="V193" s="37">
        <f t="shared" si="23"/>
        <v>5.3551567670797269</v>
      </c>
      <c r="W193" s="58">
        <f t="shared" si="24"/>
        <v>0.14404876175704021</v>
      </c>
      <c r="X193" s="23">
        <f t="shared" si="32"/>
        <v>38.11</v>
      </c>
      <c r="Y193" s="38">
        <f t="shared" si="22"/>
        <v>381.1</v>
      </c>
      <c r="Z193" s="6">
        <f t="shared" si="25"/>
        <v>35.799999999999997</v>
      </c>
      <c r="AA193" s="5">
        <f t="shared" si="26"/>
        <v>37.176000000000002</v>
      </c>
      <c r="AB193" s="8">
        <f t="shared" si="27"/>
        <v>5.3551567670797269</v>
      </c>
      <c r="AC193" s="7">
        <f t="shared" si="28"/>
        <v>0.14404876175704021</v>
      </c>
      <c r="AD193" s="5"/>
      <c r="AE193" s="5"/>
    </row>
    <row r="194" spans="1:31" ht="111" customHeight="1" x14ac:dyDescent="0.3">
      <c r="A194" s="26">
        <v>190</v>
      </c>
      <c r="B194" s="32">
        <f>'APÊNDICE II-MEMÓRIA DE CÁLCULO'!B195</f>
        <v>12457</v>
      </c>
      <c r="C194" s="33">
        <f>'APÊNDICE II-MEMÓRIA DE CÁLCULO'!C195</f>
        <v>364041</v>
      </c>
      <c r="D194" s="34" t="str">
        <f>'APÊNDICE II-MEMÓRIA DE CÁLCULO'!D195</f>
        <v>Pulseira para identificação - aplicação: recém nascido, material: plástico macio, resistente e antialérgico, características adicionais: com lacre inviolável, descartável.</v>
      </c>
      <c r="E194" s="33" t="str">
        <f>'APÊNDICE II-MEMÓRIA DE CÁLCULO'!E195</f>
        <v>UNIDADE</v>
      </c>
      <c r="F194" s="35">
        <f>'APÊNDICE II-MEMÓRIA DE CÁLCULO'!L195</f>
        <v>100</v>
      </c>
      <c r="G194" s="63" t="s">
        <v>809</v>
      </c>
      <c r="H194" s="64">
        <v>1</v>
      </c>
      <c r="I194" s="67">
        <v>0.65</v>
      </c>
      <c r="J194" s="73" t="s">
        <v>810</v>
      </c>
      <c r="K194" s="66">
        <v>3</v>
      </c>
      <c r="L194" s="67">
        <v>0.95</v>
      </c>
      <c r="M194" s="40" t="s">
        <v>31</v>
      </c>
      <c r="N194" s="55" t="s">
        <v>31</v>
      </c>
      <c r="O194" s="37" t="s">
        <v>31</v>
      </c>
      <c r="P194" s="68" t="s">
        <v>685</v>
      </c>
      <c r="Q194" s="66">
        <v>1</v>
      </c>
      <c r="R194" s="67">
        <f>84.87/100</f>
        <v>0.84870000000000001</v>
      </c>
      <c r="S194" s="68" t="s">
        <v>768</v>
      </c>
      <c r="T194" s="66">
        <v>1</v>
      </c>
      <c r="U194" s="67">
        <v>0.7</v>
      </c>
      <c r="V194" s="37">
        <f t="shared" si="23"/>
        <v>0.11907326263691681</v>
      </c>
      <c r="W194" s="58">
        <f t="shared" si="24"/>
        <v>0.15126657050454703</v>
      </c>
      <c r="X194" s="23">
        <f>ROUND(SUM(I194*H194,L194*K194,R194*Q194,U194*T194,)/SUM(H194,K194,Q194,T194,),2)</f>
        <v>0.84</v>
      </c>
      <c r="Y194" s="38">
        <f t="shared" si="22"/>
        <v>84</v>
      </c>
      <c r="Z194" s="6">
        <f t="shared" si="25"/>
        <v>0.7</v>
      </c>
      <c r="AA194" s="5">
        <f t="shared" si="26"/>
        <v>0.78717499999999996</v>
      </c>
      <c r="AB194" s="8">
        <f t="shared" si="27"/>
        <v>0.11907326263691681</v>
      </c>
      <c r="AC194" s="7">
        <f t="shared" si="28"/>
        <v>0.15126657050454703</v>
      </c>
      <c r="AD194" s="5"/>
      <c r="AE194" s="5"/>
    </row>
    <row r="195" spans="1:31" ht="111" customHeight="1" x14ac:dyDescent="0.3">
      <c r="A195" s="26">
        <v>191</v>
      </c>
      <c r="B195" s="32">
        <f>'APÊNDICE II-MEMÓRIA DE CÁLCULO'!B196</f>
        <v>12458</v>
      </c>
      <c r="C195" s="33" t="str">
        <f>'APÊNDICE II-MEMÓRIA DE CÁLCULO'!C196</f>
        <v>-</v>
      </c>
      <c r="D195" s="34" t="str">
        <f>'APÊNDICE II-MEMÓRIA DE CÁLCULO'!D196</f>
        <v>Perfurador de membrana amniótica - material: plástico resistente, dimensões mínimas: 25 cm de comprimento, esterelidade: estéril, descartável, características adicionais: embalagem individual em papel grau cirúrgico ou filme termoplástico confeccionada sem rebarbas no acabamento, embalagem individual em papel grau cirúrgico, esterilizado a óxido de etileno. Embalagem contendo dados de identificação, procedência, lote, validade e registro em órgão competente.</v>
      </c>
      <c r="E195" s="33" t="str">
        <f>'APÊNDICE II-MEMÓRIA DE CÁLCULO'!E196</f>
        <v>UNIDADE</v>
      </c>
      <c r="F195" s="35">
        <f>'APÊNDICE II-MEMÓRIA DE CÁLCULO'!L196</f>
        <v>100</v>
      </c>
      <c r="G195" s="63" t="s">
        <v>809</v>
      </c>
      <c r="H195" s="64">
        <v>1</v>
      </c>
      <c r="I195" s="67">
        <v>2.21</v>
      </c>
      <c r="J195" s="56" t="s">
        <v>31</v>
      </c>
      <c r="K195" s="55" t="s">
        <v>31</v>
      </c>
      <c r="L195" s="37" t="s">
        <v>31</v>
      </c>
      <c r="M195" s="63" t="s">
        <v>643</v>
      </c>
      <c r="N195" s="66">
        <v>1</v>
      </c>
      <c r="O195" s="67">
        <v>2.2000000000000002</v>
      </c>
      <c r="P195" s="68" t="s">
        <v>769</v>
      </c>
      <c r="Q195" s="66">
        <v>1</v>
      </c>
      <c r="R195" s="67">
        <f>157.8/60</f>
        <v>2.6300000000000003</v>
      </c>
      <c r="S195" s="68" t="s">
        <v>770</v>
      </c>
      <c r="T195" s="66">
        <v>1</v>
      </c>
      <c r="U195" s="67">
        <v>2.66</v>
      </c>
      <c r="V195" s="37">
        <f t="shared" si="23"/>
        <v>0.22028390771910697</v>
      </c>
      <c r="W195" s="58">
        <f t="shared" si="24"/>
        <v>9.0838724832621426E-2</v>
      </c>
      <c r="X195" s="23">
        <f>ROUND(SUM(I195*H195,O195*N195,R195*Q195,U195*T195,)/SUM(H195,N195,Q195,T195,),2)</f>
        <v>2.4300000000000002</v>
      </c>
      <c r="Y195" s="38">
        <f t="shared" si="22"/>
        <v>243.00000000000003</v>
      </c>
      <c r="Z195" s="6">
        <f t="shared" si="25"/>
        <v>2.21</v>
      </c>
      <c r="AA195" s="5">
        <f t="shared" si="26"/>
        <v>2.4250000000000003</v>
      </c>
      <c r="AB195" s="8">
        <f t="shared" si="27"/>
        <v>0.22028390771910697</v>
      </c>
      <c r="AC195" s="7">
        <f t="shared" si="28"/>
        <v>9.0838724832621426E-2</v>
      </c>
      <c r="AD195" s="5"/>
      <c r="AE195" s="5"/>
    </row>
    <row r="196" spans="1:31" ht="111" customHeight="1" x14ac:dyDescent="0.3">
      <c r="A196" s="26">
        <v>192</v>
      </c>
      <c r="B196" s="32">
        <f>'APÊNDICE II-MEMÓRIA DE CÁLCULO'!B197</f>
        <v>12459</v>
      </c>
      <c r="C196" s="33" t="str">
        <f>'APÊNDICE II-MEMÓRIA DE CÁLCULO'!C197</f>
        <v>-</v>
      </c>
      <c r="D196" s="34" t="str">
        <f>'APÊNDICE II-MEMÓRIA DE CÁLCULO'!D197</f>
        <v xml:space="preserve">Papel termossensível - aplicação: ECG, dimensões: 58mm x 30m, características adicionais: ccom escala própria, para o registro e adaptação no monitor cardiográfico. Em embalagem contendo externamente dados de identificação, procedência, data e registro em órgão competente. </v>
      </c>
      <c r="E196" s="33" t="str">
        <f>'APÊNDICE II-MEMÓRIA DE CÁLCULO'!E197</f>
        <v>UNIDADE</v>
      </c>
      <c r="F196" s="35">
        <f>'APÊNDICE II-MEMÓRIA DE CÁLCULO'!L197</f>
        <v>50</v>
      </c>
      <c r="G196" s="63" t="s">
        <v>809</v>
      </c>
      <c r="H196" s="64">
        <v>1</v>
      </c>
      <c r="I196" s="67">
        <v>6.26</v>
      </c>
      <c r="J196" s="56" t="s">
        <v>31</v>
      </c>
      <c r="K196" s="55" t="s">
        <v>31</v>
      </c>
      <c r="L196" s="37" t="s">
        <v>31</v>
      </c>
      <c r="M196" s="63" t="s">
        <v>644</v>
      </c>
      <c r="N196" s="66">
        <v>1</v>
      </c>
      <c r="O196" s="67">
        <v>10</v>
      </c>
      <c r="P196" s="68" t="s">
        <v>828</v>
      </c>
      <c r="Q196" s="66">
        <v>1</v>
      </c>
      <c r="R196" s="67">
        <v>10.8</v>
      </c>
      <c r="S196" s="68" t="s">
        <v>375</v>
      </c>
      <c r="T196" s="66">
        <v>1</v>
      </c>
      <c r="U196" s="67">
        <v>9.6</v>
      </c>
      <c r="V196" s="37">
        <f t="shared" si="23"/>
        <v>1.7319569856090609</v>
      </c>
      <c r="W196" s="58">
        <f t="shared" si="24"/>
        <v>0.18897512117938473</v>
      </c>
      <c r="X196" s="23">
        <f>ROUND(SUM(I196*H196,O196*N196,R196*Q196,U196*T196,)/SUM(H196,N196,Q196,T196,),2)</f>
        <v>9.17</v>
      </c>
      <c r="Y196" s="38">
        <f t="shared" si="22"/>
        <v>458.5</v>
      </c>
      <c r="Z196" s="6">
        <f t="shared" si="25"/>
        <v>9.6</v>
      </c>
      <c r="AA196" s="5">
        <f t="shared" si="26"/>
        <v>9.1649999999999991</v>
      </c>
      <c r="AB196" s="8">
        <f t="shared" si="27"/>
        <v>1.7319569856090609</v>
      </c>
      <c r="AC196" s="7">
        <f t="shared" si="28"/>
        <v>0.18897512117938473</v>
      </c>
      <c r="AD196" s="5"/>
      <c r="AE196" s="5"/>
    </row>
    <row r="197" spans="1:31" ht="111" customHeight="1" x14ac:dyDescent="0.3">
      <c r="A197" s="26">
        <v>193</v>
      </c>
      <c r="B197" s="32">
        <f>'APÊNDICE II-MEMÓRIA DE CÁLCULO'!B198</f>
        <v>12460</v>
      </c>
      <c r="C197" s="33" t="str">
        <f>'APÊNDICE II-MEMÓRIA DE CÁLCULO'!C198</f>
        <v>-</v>
      </c>
      <c r="D197" s="34" t="str">
        <f>'APÊNDICE II-MEMÓRIA DE CÁLCULO'!D198</f>
        <v xml:space="preserve">Papel termossensível - aplicação: ECG, dimensões: 80mm x 30m, características adicionais: ccom escala própria, para o registro e adaptação no monitor cardiográfico. Em embalagem contendo externamente dados de identificação, procedência, data e registro em órgão competente. </v>
      </c>
      <c r="E197" s="33" t="str">
        <f>'APÊNDICE II-MEMÓRIA DE CÁLCULO'!E198</f>
        <v>UNIDADE</v>
      </c>
      <c r="F197" s="35">
        <f>'APÊNDICE II-MEMÓRIA DE CÁLCULO'!L198</f>
        <v>100</v>
      </c>
      <c r="G197" s="63" t="s">
        <v>809</v>
      </c>
      <c r="H197" s="64">
        <v>1</v>
      </c>
      <c r="I197" s="67">
        <v>11.4</v>
      </c>
      <c r="J197" s="56" t="s">
        <v>31</v>
      </c>
      <c r="K197" s="55" t="s">
        <v>31</v>
      </c>
      <c r="L197" s="37" t="s">
        <v>31</v>
      </c>
      <c r="M197" s="63" t="s">
        <v>645</v>
      </c>
      <c r="N197" s="66">
        <v>1</v>
      </c>
      <c r="O197" s="67">
        <v>13</v>
      </c>
      <c r="P197" s="68" t="s">
        <v>762</v>
      </c>
      <c r="Q197" s="66">
        <v>1</v>
      </c>
      <c r="R197" s="67">
        <v>13.5</v>
      </c>
      <c r="S197" s="68" t="s">
        <v>340</v>
      </c>
      <c r="T197" s="66">
        <v>1</v>
      </c>
      <c r="U197" s="67">
        <v>14.04</v>
      </c>
      <c r="V197" s="37">
        <f t="shared" si="23"/>
        <v>0.98624287069666527</v>
      </c>
      <c r="W197" s="58">
        <f t="shared" si="24"/>
        <v>7.5952473677063176E-2</v>
      </c>
      <c r="X197" s="23">
        <f>ROUND(SUM(I197*H197,O197*N197,R197*Q197,U197*T197,)/SUM(H197,N197,Q197,T197,),2)</f>
        <v>12.99</v>
      </c>
      <c r="Y197" s="38">
        <f t="shared" ref="Y197:Y260" si="33">X197*F197</f>
        <v>1299</v>
      </c>
      <c r="Z197" s="6">
        <f t="shared" si="25"/>
        <v>13</v>
      </c>
      <c r="AA197" s="5">
        <f t="shared" si="26"/>
        <v>12.984999999999999</v>
      </c>
      <c r="AB197" s="8">
        <f t="shared" si="27"/>
        <v>0.98624287069666527</v>
      </c>
      <c r="AC197" s="7">
        <f t="shared" si="28"/>
        <v>7.5952473677063176E-2</v>
      </c>
      <c r="AD197" s="5"/>
      <c r="AE197" s="5"/>
    </row>
    <row r="198" spans="1:31" ht="152.25" customHeight="1" x14ac:dyDescent="0.3">
      <c r="A198" s="26">
        <v>194</v>
      </c>
      <c r="B198" s="32">
        <f>'APÊNDICE II-MEMÓRIA DE CÁLCULO'!B199</f>
        <v>12461</v>
      </c>
      <c r="C198" s="33" t="str">
        <f>'APÊNDICE II-MEMÓRIA DE CÁLCULO'!C199</f>
        <v>-</v>
      </c>
      <c r="D198" s="34" t="str">
        <f>'APÊNDICE II-MEMÓRIA DE CÁLCULO'!D199</f>
        <v>Papel grau cirúrgico, 100mm x 100m - embalagem tubular para esterilização, embalagem tubular descartável termoselável para esterilização de material médico-hospitalar em autoclave a vapor ou óxido de etileno medindo 100mm x100 m em dupla face, sendo uma das faces em papel grau cirúrgico, isento de furos, rasgos, rugas, manchas, substâncias tóxicas, corantes, odores desagradáveis quando úmido ou seco, resistência ao calor em ambas as faces até 140ºC a embalagem deve apresentar número de lote impresso, número de registro na ANVISA, data de fabricação, validade, nome do fabricante.</v>
      </c>
      <c r="E198" s="33" t="str">
        <f>'APÊNDICE II-MEMÓRIA DE CÁLCULO'!E199</f>
        <v>ROLO</v>
      </c>
      <c r="F198" s="35">
        <f>'APÊNDICE II-MEMÓRIA DE CÁLCULO'!L199</f>
        <v>20</v>
      </c>
      <c r="G198" s="63" t="s">
        <v>809</v>
      </c>
      <c r="H198" s="64">
        <v>1</v>
      </c>
      <c r="I198" s="67">
        <v>53.94</v>
      </c>
      <c r="J198" s="56" t="s">
        <v>31</v>
      </c>
      <c r="K198" s="55" t="s">
        <v>31</v>
      </c>
      <c r="L198" s="37" t="s">
        <v>31</v>
      </c>
      <c r="M198" s="63" t="s">
        <v>600</v>
      </c>
      <c r="N198" s="66">
        <v>1</v>
      </c>
      <c r="O198" s="67">
        <v>45.8</v>
      </c>
      <c r="P198" s="68" t="s">
        <v>771</v>
      </c>
      <c r="Q198" s="66">
        <v>1</v>
      </c>
      <c r="R198" s="67">
        <v>67.900000000000006</v>
      </c>
      <c r="S198" s="68" t="s">
        <v>772</v>
      </c>
      <c r="T198" s="66">
        <v>1</v>
      </c>
      <c r="U198" s="67">
        <v>61.9</v>
      </c>
      <c r="V198" s="37">
        <f t="shared" ref="V198:V261" si="34">AB198</f>
        <v>8.3221196218271398</v>
      </c>
      <c r="W198" s="58">
        <f t="shared" ref="W198:W261" si="35">AC198</f>
        <v>0.14502256028277669</v>
      </c>
      <c r="X198" s="23">
        <f t="shared" ref="X198" si="36">ROUND(SUM(I198*H198,O198*N198,R198*Q198,U198*T198,)/SUM(H198,N198,Q198,T198,),2)</f>
        <v>57.39</v>
      </c>
      <c r="Y198" s="38">
        <f t="shared" si="33"/>
        <v>1147.8</v>
      </c>
      <c r="Z198" s="6">
        <f t="shared" ref="Z198:Z261" si="37">MEDIAN(L198,I198,O198,R198,U198,)</f>
        <v>53.94</v>
      </c>
      <c r="AA198" s="5">
        <f t="shared" ref="AA198:AA261" si="38">AVERAGE(I198,O198,R198,U198,L198)</f>
        <v>57.384999999999998</v>
      </c>
      <c r="AB198" s="8">
        <f t="shared" ref="AB198:AB261" si="39">_xlfn.STDEV.P(I198,O198,R198,U198,L198)</f>
        <v>8.3221196218271398</v>
      </c>
      <c r="AC198" s="7">
        <f t="shared" ref="AC198:AC261" si="40">AB198/AA198</f>
        <v>0.14502256028277669</v>
      </c>
      <c r="AD198" s="5"/>
      <c r="AE198" s="5"/>
    </row>
    <row r="199" spans="1:31" ht="152.25" customHeight="1" x14ac:dyDescent="0.3">
      <c r="A199" s="26">
        <v>195</v>
      </c>
      <c r="B199" s="32">
        <f>'APÊNDICE II-MEMÓRIA DE CÁLCULO'!B200</f>
        <v>6323</v>
      </c>
      <c r="C199" s="33" t="str">
        <f>'APÊNDICE II-MEMÓRIA DE CÁLCULO'!C200</f>
        <v>-</v>
      </c>
      <c r="D199" s="34" t="str">
        <f>'APÊNDICE II-MEMÓRIA DE CÁLCULO'!D200</f>
        <v>Papel grau cirúrgico, 150mm x 100m - embalagem tubular para esterilização, embalagem tubular descartável termoselável para esterilização de material médico-hospitalar em autoclave a vapor ou óxido de etileno medindo 150mm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numero de registro na ANVISA, data de fabricação, validade, nome do fabricante.</v>
      </c>
      <c r="E199" s="33" t="str">
        <f>'APÊNDICE II-MEMÓRIA DE CÁLCULO'!E200</f>
        <v>ROLO</v>
      </c>
      <c r="F199" s="35">
        <f>'APÊNDICE II-MEMÓRIA DE CÁLCULO'!L200</f>
        <v>29</v>
      </c>
      <c r="G199" s="63" t="s">
        <v>809</v>
      </c>
      <c r="H199" s="64">
        <v>1</v>
      </c>
      <c r="I199" s="67">
        <v>59.68</v>
      </c>
      <c r="J199" s="56" t="s">
        <v>31</v>
      </c>
      <c r="K199" s="55" t="s">
        <v>31</v>
      </c>
      <c r="L199" s="37" t="s">
        <v>31</v>
      </c>
      <c r="M199" s="63" t="s">
        <v>601</v>
      </c>
      <c r="N199" s="66">
        <v>1</v>
      </c>
      <c r="O199" s="67">
        <v>74</v>
      </c>
      <c r="P199" s="68" t="s">
        <v>773</v>
      </c>
      <c r="Q199" s="66">
        <v>1</v>
      </c>
      <c r="R199" s="67">
        <v>105.86</v>
      </c>
      <c r="S199" s="68" t="s">
        <v>392</v>
      </c>
      <c r="T199" s="66">
        <v>1</v>
      </c>
      <c r="U199" s="67">
        <v>110.9</v>
      </c>
      <c r="V199" s="37">
        <f t="shared" si="34"/>
        <v>21.452293583670674</v>
      </c>
      <c r="W199" s="58">
        <f t="shared" si="35"/>
        <v>0.24486124396382455</v>
      </c>
      <c r="X199" s="23">
        <f>ROUND(SUM(I199*H199,O199*N199,R199*Q199,U199*T199,)/SUM(H199,N199,Q199,T199,),2)</f>
        <v>87.61</v>
      </c>
      <c r="Y199" s="38">
        <f t="shared" si="33"/>
        <v>2540.69</v>
      </c>
      <c r="Z199" s="6">
        <f t="shared" si="37"/>
        <v>74</v>
      </c>
      <c r="AA199" s="5">
        <f t="shared" si="38"/>
        <v>87.610000000000014</v>
      </c>
      <c r="AB199" s="8">
        <f t="shared" si="39"/>
        <v>21.452293583670674</v>
      </c>
      <c r="AC199" s="7">
        <f t="shared" si="40"/>
        <v>0.24486124396382455</v>
      </c>
      <c r="AD199" s="5"/>
      <c r="AE199" s="5"/>
    </row>
    <row r="200" spans="1:31" ht="152.25" customHeight="1" x14ac:dyDescent="0.3">
      <c r="A200" s="26">
        <v>196</v>
      </c>
      <c r="B200" s="32">
        <f>'APÊNDICE II-MEMÓRIA DE CÁLCULO'!B201</f>
        <v>12463</v>
      </c>
      <c r="C200" s="33" t="str">
        <f>'APÊNDICE II-MEMÓRIA DE CÁLCULO'!C201</f>
        <v>-</v>
      </c>
      <c r="D200" s="34" t="str">
        <f>'APÊNDICE II-MEMÓRIA DE CÁLCULO'!D201</f>
        <v>Papel grau cirúrgico 250mm x 100m - embalagem tubular para esterilização, embalagem tubular descartável termoselável para esterilização de material médico-hospitalar em autoclave a vapor ou óxido de etileno medindo 250mm x 100m em dupla face, sendo uma das faces em papel grau cirúrgico, isento de furos, rasgos, rugas, manchas, substâncias tóxicas, corantes, odores desagradáveis quando úmido ou seco, resistência ao calor em ambas as faces até 140º c. a embalagem deve apresentar numero de lote impresso, número de registro na ANVISA, data de fabricação, validade, nome do fabricante.</v>
      </c>
      <c r="E200" s="33" t="str">
        <f>'APÊNDICE II-MEMÓRIA DE CÁLCULO'!E201</f>
        <v>ROLO</v>
      </c>
      <c r="F200" s="35">
        <f>'APÊNDICE II-MEMÓRIA DE CÁLCULO'!L201</f>
        <v>50</v>
      </c>
      <c r="G200" s="63" t="s">
        <v>809</v>
      </c>
      <c r="H200" s="64">
        <v>1</v>
      </c>
      <c r="I200" s="67">
        <v>120</v>
      </c>
      <c r="J200" s="56" t="s">
        <v>31</v>
      </c>
      <c r="K200" s="55" t="s">
        <v>31</v>
      </c>
      <c r="L200" s="37" t="s">
        <v>31</v>
      </c>
      <c r="M200" s="63" t="s">
        <v>532</v>
      </c>
      <c r="N200" s="66">
        <v>1</v>
      </c>
      <c r="O200" s="67">
        <v>129.99</v>
      </c>
      <c r="P200" s="68" t="s">
        <v>774</v>
      </c>
      <c r="Q200" s="66">
        <v>1</v>
      </c>
      <c r="R200" s="67">
        <v>208</v>
      </c>
      <c r="S200" s="68" t="s">
        <v>341</v>
      </c>
      <c r="T200" s="66">
        <v>1</v>
      </c>
      <c r="U200" s="67">
        <v>201.53</v>
      </c>
      <c r="V200" s="37">
        <f t="shared" si="34"/>
        <v>40.106369194929684</v>
      </c>
      <c r="W200" s="58">
        <f t="shared" si="35"/>
        <v>0.24324581025551725</v>
      </c>
      <c r="X200" s="23">
        <f>ROUND(SUM(I200*H200,O200*N200,R200*Q200,U200*T200,)/SUM(H200,N200,Q200,T200,),2)</f>
        <v>164.88</v>
      </c>
      <c r="Y200" s="38">
        <f t="shared" si="33"/>
        <v>8244</v>
      </c>
      <c r="Z200" s="6">
        <f t="shared" si="37"/>
        <v>129.99</v>
      </c>
      <c r="AA200" s="5">
        <f t="shared" si="38"/>
        <v>164.88</v>
      </c>
      <c r="AB200" s="8">
        <f t="shared" si="39"/>
        <v>40.106369194929684</v>
      </c>
      <c r="AC200" s="7">
        <f t="shared" si="40"/>
        <v>0.24324581025551725</v>
      </c>
      <c r="AD200" s="5"/>
      <c r="AE200" s="5"/>
    </row>
    <row r="201" spans="1:31" ht="152.25" customHeight="1" x14ac:dyDescent="0.3">
      <c r="A201" s="26">
        <v>197</v>
      </c>
      <c r="B201" s="32">
        <f>'APÊNDICE II-MEMÓRIA DE CÁLCULO'!B202</f>
        <v>12464</v>
      </c>
      <c r="C201" s="33" t="str">
        <f>'APÊNDICE II-MEMÓRIA DE CÁLCULO'!C202</f>
        <v>-</v>
      </c>
      <c r="D201" s="34" t="str">
        <f>'APÊNDICE II-MEMÓRIA DE CÁLCULO'!D202</f>
        <v>Papel grau cirúrgico, 300 mm x 100m - embalagem tubular descartável termoselável para esterilização de material médico-hospitalar em autoclave a vapor ou óxido de etileno medindo 300mm x 100m em dupla face, sendo uma das faces em papel grau cirúrgico, isento de furos, rasgos, rugas, manchas, substâncias tóxicas, corantes, odores desagradáveis quando úmido ou seco, resistência ao calor em ambas as faces até 140º c. a embalagem deve apresentar número de lote impresso, número de registro na ANVISA, data de fabricação, validade, nome do fabricante.</v>
      </c>
      <c r="E201" s="33" t="str">
        <f>'APÊNDICE II-MEMÓRIA DE CÁLCULO'!E202</f>
        <v>ROLO</v>
      </c>
      <c r="F201" s="35">
        <f>'APÊNDICE II-MEMÓRIA DE CÁLCULO'!L202</f>
        <v>12</v>
      </c>
      <c r="G201" s="63" t="s">
        <v>809</v>
      </c>
      <c r="H201" s="64">
        <v>1</v>
      </c>
      <c r="I201" s="67">
        <v>130</v>
      </c>
      <c r="J201" s="56" t="s">
        <v>31</v>
      </c>
      <c r="K201" s="55" t="s">
        <v>31</v>
      </c>
      <c r="L201" s="37" t="s">
        <v>31</v>
      </c>
      <c r="M201" s="63" t="s">
        <v>533</v>
      </c>
      <c r="N201" s="66">
        <v>1</v>
      </c>
      <c r="O201" s="67">
        <v>141</v>
      </c>
      <c r="P201" s="68" t="s">
        <v>341</v>
      </c>
      <c r="Q201" s="66">
        <v>1</v>
      </c>
      <c r="R201" s="67">
        <v>189.9</v>
      </c>
      <c r="S201" s="68" t="s">
        <v>392</v>
      </c>
      <c r="T201" s="66">
        <v>1</v>
      </c>
      <c r="U201" s="67">
        <v>221.9</v>
      </c>
      <c r="V201" s="37">
        <f t="shared" si="34"/>
        <v>37.177479742446344</v>
      </c>
      <c r="W201" s="58">
        <f t="shared" si="35"/>
        <v>0.21779425742499325</v>
      </c>
      <c r="X201" s="23">
        <f>ROUND(SUM(I201*H201,O201*N201,R201*Q201,U201*T201,)/SUM(H201,N201,Q201,T201,),2)</f>
        <v>170.7</v>
      </c>
      <c r="Y201" s="38">
        <f t="shared" si="33"/>
        <v>2048.3999999999996</v>
      </c>
      <c r="Z201" s="6">
        <f t="shared" si="37"/>
        <v>141</v>
      </c>
      <c r="AA201" s="5">
        <f t="shared" si="38"/>
        <v>170.7</v>
      </c>
      <c r="AB201" s="8">
        <f t="shared" si="39"/>
        <v>37.177479742446344</v>
      </c>
      <c r="AC201" s="7">
        <f t="shared" si="40"/>
        <v>0.21779425742499325</v>
      </c>
      <c r="AD201" s="5"/>
      <c r="AE201" s="5"/>
    </row>
    <row r="202" spans="1:31" ht="111" customHeight="1" x14ac:dyDescent="0.3">
      <c r="A202" s="26">
        <v>198</v>
      </c>
      <c r="B202" s="32">
        <f>'APÊNDICE II-MEMÓRIA DE CÁLCULO'!B203</f>
        <v>12465</v>
      </c>
      <c r="C202" s="33">
        <f>'APÊNDICE II-MEMÓRIA DE CÁLCULO'!C203</f>
        <v>467850</v>
      </c>
      <c r="D202" s="34" t="str">
        <f>'APÊNDICE II-MEMÓRIA DE CÁLCULO'!D203</f>
        <v>Pinça cirúrgica - modelo: crile, formato ponta: curva, tamanho: 16 cm, material: aço inoxidável AISI-420. esterilidade: esterilizável, características adicionais: embalagem plástica individual, constando os dados de identificação, procedência, rastreabilidade e registro em órgão competente.</v>
      </c>
      <c r="E202" s="33" t="str">
        <f>'APÊNDICE II-MEMÓRIA DE CÁLCULO'!E203</f>
        <v>UNIDADE</v>
      </c>
      <c r="F202" s="35">
        <f>'APÊNDICE II-MEMÓRIA DE CÁLCULO'!L203</f>
        <v>5</v>
      </c>
      <c r="G202" s="63" t="s">
        <v>809</v>
      </c>
      <c r="H202" s="64">
        <v>8</v>
      </c>
      <c r="I202" s="67">
        <v>27.39</v>
      </c>
      <c r="J202" s="73" t="s">
        <v>810</v>
      </c>
      <c r="K202" s="66">
        <v>3</v>
      </c>
      <c r="L202" s="67">
        <v>40.31</v>
      </c>
      <c r="M202" s="63" t="s">
        <v>461</v>
      </c>
      <c r="N202" s="66">
        <v>1</v>
      </c>
      <c r="O202" s="67">
        <v>51</v>
      </c>
      <c r="P202" s="68" t="s">
        <v>398</v>
      </c>
      <c r="Q202" s="66">
        <v>1</v>
      </c>
      <c r="R202" s="67">
        <v>46.1</v>
      </c>
      <c r="S202" s="68" t="s">
        <v>709</v>
      </c>
      <c r="T202" s="66">
        <v>1</v>
      </c>
      <c r="U202" s="67">
        <v>39.5</v>
      </c>
      <c r="V202" s="37">
        <f t="shared" si="34"/>
        <v>7.9230070049192696</v>
      </c>
      <c r="W202" s="58">
        <f t="shared" si="35"/>
        <v>0.19390619199508735</v>
      </c>
      <c r="X202" s="23">
        <f t="shared" ref="X202:X208" si="41">ROUND(SUM(I202*H202,L202*K202,O202*N202,R202*Q202,U202*T202,)/SUM(H202,K202,N202,Q202,T202,),2)</f>
        <v>34.049999999999997</v>
      </c>
      <c r="Y202" s="38">
        <f t="shared" si="33"/>
        <v>170.25</v>
      </c>
      <c r="Z202" s="6">
        <f t="shared" si="37"/>
        <v>39.905000000000001</v>
      </c>
      <c r="AA202" s="5">
        <f t="shared" si="38"/>
        <v>40.86</v>
      </c>
      <c r="AB202" s="8">
        <f t="shared" si="39"/>
        <v>7.9230070049192696</v>
      </c>
      <c r="AC202" s="7">
        <f t="shared" si="40"/>
        <v>0.19390619199508735</v>
      </c>
      <c r="AD202" s="5"/>
      <c r="AE202" s="5"/>
    </row>
    <row r="203" spans="1:31" ht="111" customHeight="1" x14ac:dyDescent="0.3">
      <c r="A203" s="26">
        <v>199</v>
      </c>
      <c r="B203" s="32">
        <f>'APÊNDICE II-MEMÓRIA DE CÁLCULO'!B204</f>
        <v>12466</v>
      </c>
      <c r="C203" s="33">
        <f>'APÊNDICE II-MEMÓRIA DE CÁLCULO'!C204</f>
        <v>467845</v>
      </c>
      <c r="D203" s="34" t="str">
        <f>'APÊNDICE II-MEMÓRIA DE CÁLCULO'!D204</f>
        <v>Pinça cirúrgica - modelo: crile, formato ponta: reta, tamanho: 16 cm, material: aço inoxidável AISI-420. esterilidade: esterilizável, características adicionais: embalagem plástica individual, constando os dados de identificação, procedência, rastreabilidade e registro em órgão competente.</v>
      </c>
      <c r="E203" s="33" t="str">
        <f>'APÊNDICE II-MEMÓRIA DE CÁLCULO'!E204</f>
        <v>UNIDADE</v>
      </c>
      <c r="F203" s="35">
        <f>'APÊNDICE II-MEMÓRIA DE CÁLCULO'!L204</f>
        <v>5</v>
      </c>
      <c r="G203" s="63" t="s">
        <v>809</v>
      </c>
      <c r="H203" s="64">
        <v>9</v>
      </c>
      <c r="I203" s="67">
        <v>35.15</v>
      </c>
      <c r="J203" s="73" t="s">
        <v>810</v>
      </c>
      <c r="K203" s="66">
        <v>3</v>
      </c>
      <c r="L203" s="67">
        <v>33.049999999999997</v>
      </c>
      <c r="M203" s="63" t="s">
        <v>462</v>
      </c>
      <c r="N203" s="66">
        <v>1</v>
      </c>
      <c r="O203" s="67">
        <v>49</v>
      </c>
      <c r="P203" s="68" t="s">
        <v>401</v>
      </c>
      <c r="Q203" s="66">
        <v>1</v>
      </c>
      <c r="R203" s="67">
        <v>39.5</v>
      </c>
      <c r="S203" s="68" t="s">
        <v>347</v>
      </c>
      <c r="T203" s="66">
        <v>1</v>
      </c>
      <c r="U203" s="67">
        <v>52.7</v>
      </c>
      <c r="V203" s="37">
        <f t="shared" si="34"/>
        <v>7.7031551977095249</v>
      </c>
      <c r="W203" s="58">
        <f t="shared" si="35"/>
        <v>0.1839339827533315</v>
      </c>
      <c r="X203" s="23">
        <f t="shared" si="41"/>
        <v>37.11</v>
      </c>
      <c r="Y203" s="38">
        <f t="shared" si="33"/>
        <v>185.55</v>
      </c>
      <c r="Z203" s="6">
        <f t="shared" si="37"/>
        <v>37.325000000000003</v>
      </c>
      <c r="AA203" s="5">
        <f t="shared" si="38"/>
        <v>41.88000000000001</v>
      </c>
      <c r="AB203" s="8">
        <f t="shared" si="39"/>
        <v>7.7031551977095249</v>
      </c>
      <c r="AC203" s="7">
        <f t="shared" si="40"/>
        <v>0.1839339827533315</v>
      </c>
      <c r="AD203" s="5"/>
      <c r="AE203" s="5"/>
    </row>
    <row r="204" spans="1:31" ht="111" customHeight="1" x14ac:dyDescent="0.3">
      <c r="A204" s="26">
        <v>200</v>
      </c>
      <c r="B204" s="32">
        <f>'APÊNDICE II-MEMÓRIA DE CÁLCULO'!B205</f>
        <v>12468</v>
      </c>
      <c r="C204" s="33">
        <f>'APÊNDICE II-MEMÓRIA DE CÁLCULO'!C205</f>
        <v>467834</v>
      </c>
      <c r="D204" s="34" t="str">
        <f>'APÊNDICE II-MEMÓRIA DE CÁLCULO'!D205</f>
        <v>Pinça cirúrgica - modelo: Kelly, formato ponta: reta, tamanho: 16 cm, material: aço inoxidável AISI-420. esterilidade: esterilizável, características adicionais: embalagem plástica individual, constando os dados de identificação, procedência, rastreabilidade e registro em órgão competente.</v>
      </c>
      <c r="E204" s="33" t="str">
        <f>'APÊNDICE II-MEMÓRIA DE CÁLCULO'!E205</f>
        <v>UNIDADE</v>
      </c>
      <c r="F204" s="35">
        <f>'APÊNDICE II-MEMÓRIA DE CÁLCULO'!L205</f>
        <v>5</v>
      </c>
      <c r="G204" s="63" t="s">
        <v>809</v>
      </c>
      <c r="H204" s="64">
        <v>1</v>
      </c>
      <c r="I204" s="67">
        <v>37.6</v>
      </c>
      <c r="J204" s="73" t="s">
        <v>810</v>
      </c>
      <c r="K204" s="66">
        <v>3</v>
      </c>
      <c r="L204" s="67">
        <v>44.68</v>
      </c>
      <c r="M204" s="63" t="s">
        <v>463</v>
      </c>
      <c r="N204" s="66">
        <v>1</v>
      </c>
      <c r="O204" s="67">
        <v>44.75</v>
      </c>
      <c r="P204" s="68" t="s">
        <v>763</v>
      </c>
      <c r="Q204" s="66">
        <v>1</v>
      </c>
      <c r="R204" s="67">
        <v>35</v>
      </c>
      <c r="S204" s="68" t="s">
        <v>762</v>
      </c>
      <c r="T204" s="66">
        <v>1</v>
      </c>
      <c r="U204" s="67">
        <v>58</v>
      </c>
      <c r="V204" s="37">
        <f t="shared" si="34"/>
        <v>7.9872989176567115</v>
      </c>
      <c r="W204" s="58">
        <f t="shared" si="35"/>
        <v>0.1815047702053518</v>
      </c>
      <c r="X204" s="23">
        <f t="shared" si="41"/>
        <v>44.2</v>
      </c>
      <c r="Y204" s="38">
        <f t="shared" si="33"/>
        <v>221</v>
      </c>
      <c r="Z204" s="6">
        <f t="shared" si="37"/>
        <v>41.14</v>
      </c>
      <c r="AA204" s="5">
        <f t="shared" si="38"/>
        <v>44.006</v>
      </c>
      <c r="AB204" s="8">
        <f t="shared" si="39"/>
        <v>7.9872989176567115</v>
      </c>
      <c r="AC204" s="7">
        <f t="shared" si="40"/>
        <v>0.1815047702053518</v>
      </c>
      <c r="AD204" s="5"/>
      <c r="AE204" s="5"/>
    </row>
    <row r="205" spans="1:31" ht="111" customHeight="1" x14ac:dyDescent="0.3">
      <c r="A205" s="26">
        <v>201</v>
      </c>
      <c r="B205" s="32">
        <f>'APÊNDICE II-MEMÓRIA DE CÁLCULO'!B206</f>
        <v>12467</v>
      </c>
      <c r="C205" s="33">
        <f>'APÊNDICE II-MEMÓRIA DE CÁLCULO'!C206</f>
        <v>467839</v>
      </c>
      <c r="D205" s="34" t="str">
        <f>'APÊNDICE II-MEMÓRIA DE CÁLCULO'!D206</f>
        <v>Pinça cirúrgica - modelo: Kelly, formato ponta: curva, tamanho: 16 cm, material: aço inoxidável AISI-420. esterilidade: esterilizável, características adicionais: embalagem plástica individual, constando os dados de identificação, procedência, rastreabilidade e registro em órgão competente.</v>
      </c>
      <c r="E205" s="33" t="str">
        <f>'APÊNDICE II-MEMÓRIA DE CÁLCULO'!E206</f>
        <v>UNIDADE</v>
      </c>
      <c r="F205" s="35">
        <f>'APÊNDICE II-MEMÓRIA DE CÁLCULO'!L206</f>
        <v>5</v>
      </c>
      <c r="G205" s="63" t="s">
        <v>809</v>
      </c>
      <c r="H205" s="64">
        <v>4</v>
      </c>
      <c r="I205" s="67">
        <v>26.97</v>
      </c>
      <c r="J205" s="73" t="s">
        <v>810</v>
      </c>
      <c r="K205" s="66">
        <v>1</v>
      </c>
      <c r="L205" s="67">
        <v>39.590000000000003</v>
      </c>
      <c r="M205" s="63" t="s">
        <v>534</v>
      </c>
      <c r="N205" s="66">
        <v>1</v>
      </c>
      <c r="O205" s="67">
        <v>54.7</v>
      </c>
      <c r="P205" s="68" t="s">
        <v>775</v>
      </c>
      <c r="Q205" s="66">
        <v>1</v>
      </c>
      <c r="R205" s="67">
        <v>54.5</v>
      </c>
      <c r="S205" s="68" t="s">
        <v>776</v>
      </c>
      <c r="T205" s="66">
        <v>1</v>
      </c>
      <c r="U205" s="67">
        <v>51.25</v>
      </c>
      <c r="V205" s="37">
        <f t="shared" si="34"/>
        <v>10.74191305122136</v>
      </c>
      <c r="W205" s="58">
        <f t="shared" si="35"/>
        <v>0.2365955916307951</v>
      </c>
      <c r="X205" s="23">
        <f t="shared" si="41"/>
        <v>38.49</v>
      </c>
      <c r="Y205" s="38">
        <f t="shared" si="33"/>
        <v>192.45000000000002</v>
      </c>
      <c r="Z205" s="6">
        <f t="shared" si="37"/>
        <v>45.42</v>
      </c>
      <c r="AA205" s="5">
        <f t="shared" si="38"/>
        <v>45.402000000000001</v>
      </c>
      <c r="AB205" s="8">
        <f t="shared" si="39"/>
        <v>10.74191305122136</v>
      </c>
      <c r="AC205" s="7">
        <f t="shared" si="40"/>
        <v>0.2365955916307951</v>
      </c>
      <c r="AD205" s="5"/>
      <c r="AE205" s="5"/>
    </row>
    <row r="206" spans="1:31" ht="111" customHeight="1" x14ac:dyDescent="0.3">
      <c r="A206" s="26">
        <v>202</v>
      </c>
      <c r="B206" s="32">
        <f>'APÊNDICE II-MEMÓRIA DE CÁLCULO'!B207</f>
        <v>12469</v>
      </c>
      <c r="C206" s="33">
        <f>'APÊNDICE II-MEMÓRIA DE CÁLCULO'!C207</f>
        <v>467987</v>
      </c>
      <c r="D206" s="34" t="str">
        <f>'APÊNDICE II-MEMÓRIA DE CÁLCULO'!D207</f>
        <v>Pinça anatômica - modelo: dissecção, formato ponta: reta serrilhada, tamanho: 12 cm, material: aço inoxidável AISI-420. esterilidade: esterilizável, características adicionais: embalagem plástica individual, constando os dados de identificação, procedência, rastreabilidade e registro em órgão competente.</v>
      </c>
      <c r="E206" s="33" t="str">
        <f>'APÊNDICE II-MEMÓRIA DE CÁLCULO'!E207</f>
        <v>UNIDADE</v>
      </c>
      <c r="F206" s="35">
        <f>'APÊNDICE II-MEMÓRIA DE CÁLCULO'!L207</f>
        <v>5</v>
      </c>
      <c r="G206" s="63" t="s">
        <v>809</v>
      </c>
      <c r="H206" s="64">
        <v>4</v>
      </c>
      <c r="I206" s="67">
        <v>17.91</v>
      </c>
      <c r="J206" s="73" t="s">
        <v>810</v>
      </c>
      <c r="K206" s="66">
        <v>1</v>
      </c>
      <c r="L206" s="67">
        <v>21.33</v>
      </c>
      <c r="M206" s="63" t="s">
        <v>464</v>
      </c>
      <c r="N206" s="66">
        <v>1</v>
      </c>
      <c r="O206" s="67">
        <v>23.2</v>
      </c>
      <c r="P206" s="68" t="s">
        <v>777</v>
      </c>
      <c r="Q206" s="66">
        <v>1</v>
      </c>
      <c r="R206" s="67">
        <v>19.3</v>
      </c>
      <c r="S206" s="68" t="s">
        <v>767</v>
      </c>
      <c r="T206" s="66">
        <v>1</v>
      </c>
      <c r="U206" s="67">
        <v>22.93</v>
      </c>
      <c r="V206" s="37">
        <f t="shared" si="34"/>
        <v>2.0537828512284344</v>
      </c>
      <c r="W206" s="58">
        <f t="shared" si="35"/>
        <v>9.8107521315966104E-2</v>
      </c>
      <c r="X206" s="23">
        <f t="shared" si="41"/>
        <v>19.8</v>
      </c>
      <c r="Y206" s="38">
        <f t="shared" si="33"/>
        <v>99</v>
      </c>
      <c r="Z206" s="6">
        <f t="shared" si="37"/>
        <v>20.314999999999998</v>
      </c>
      <c r="AA206" s="5">
        <f t="shared" si="38"/>
        <v>20.934000000000001</v>
      </c>
      <c r="AB206" s="8">
        <f t="shared" si="39"/>
        <v>2.0537828512284344</v>
      </c>
      <c r="AC206" s="7">
        <f t="shared" si="40"/>
        <v>9.8107521315966104E-2</v>
      </c>
      <c r="AD206" s="5"/>
      <c r="AE206" s="5"/>
    </row>
    <row r="207" spans="1:31" ht="111" customHeight="1" x14ac:dyDescent="0.3">
      <c r="A207" s="26">
        <v>203</v>
      </c>
      <c r="B207" s="32">
        <f>'APÊNDICE II-MEMÓRIA DE CÁLCULO'!B208</f>
        <v>12470</v>
      </c>
      <c r="C207" s="33">
        <f>'APÊNDICE II-MEMÓRIA DE CÁLCULO'!C208</f>
        <v>467746</v>
      </c>
      <c r="D207" s="34" t="str">
        <f>'APÊNDICE II-MEMÓRIA DE CÁLCULO'!D208</f>
        <v>Pinça anatômica, modelo: dissecção, formato ponta: reta serrilhada, tamanho: 16 cm, material: aço inoxidável AISI-420. esterilidade: esterilizável, características adicionais: embalagem plástica individual, constando os dados de identificação, procedência, rastreabilidade e registro em órgão competente.</v>
      </c>
      <c r="E207" s="33" t="str">
        <f>'APÊNDICE II-MEMÓRIA DE CÁLCULO'!E208</f>
        <v>UNIDADE</v>
      </c>
      <c r="F207" s="35">
        <f>'APÊNDICE II-MEMÓRIA DE CÁLCULO'!L208</f>
        <v>5</v>
      </c>
      <c r="G207" s="63" t="s">
        <v>809</v>
      </c>
      <c r="H207" s="64">
        <v>1</v>
      </c>
      <c r="I207" s="67">
        <v>21.07</v>
      </c>
      <c r="J207" s="73" t="s">
        <v>810</v>
      </c>
      <c r="K207" s="66">
        <v>3</v>
      </c>
      <c r="L207" s="67">
        <v>21.89</v>
      </c>
      <c r="M207" s="63" t="s">
        <v>465</v>
      </c>
      <c r="N207" s="66">
        <v>1</v>
      </c>
      <c r="O207" s="67">
        <v>28.03</v>
      </c>
      <c r="P207" s="68" t="s">
        <v>398</v>
      </c>
      <c r="Q207" s="66">
        <v>1</v>
      </c>
      <c r="R207" s="67">
        <v>19.190000000000001</v>
      </c>
      <c r="S207" s="68" t="s">
        <v>778</v>
      </c>
      <c r="T207" s="66">
        <v>1</v>
      </c>
      <c r="U207" s="67">
        <v>26.01</v>
      </c>
      <c r="V207" s="37">
        <f t="shared" si="34"/>
        <v>3.2726405241027994</v>
      </c>
      <c r="W207" s="58">
        <f t="shared" si="35"/>
        <v>0.14083141940368357</v>
      </c>
      <c r="X207" s="23">
        <f t="shared" si="41"/>
        <v>22.85</v>
      </c>
      <c r="Y207" s="38">
        <f t="shared" si="33"/>
        <v>114.25</v>
      </c>
      <c r="Z207" s="6">
        <f t="shared" si="37"/>
        <v>21.48</v>
      </c>
      <c r="AA207" s="5">
        <f t="shared" si="38"/>
        <v>23.238000000000003</v>
      </c>
      <c r="AB207" s="8">
        <f t="shared" si="39"/>
        <v>3.2726405241027994</v>
      </c>
      <c r="AC207" s="7">
        <f t="shared" si="40"/>
        <v>0.14083141940368357</v>
      </c>
      <c r="AD207" s="5"/>
      <c r="AE207" s="5"/>
    </row>
    <row r="208" spans="1:31" ht="111" customHeight="1" x14ac:dyDescent="0.3">
      <c r="A208" s="26">
        <v>204</v>
      </c>
      <c r="B208" s="32">
        <f>'APÊNDICE II-MEMÓRIA DE CÁLCULO'!B209</f>
        <v>12471</v>
      </c>
      <c r="C208" s="33">
        <f>'APÊNDICE II-MEMÓRIA DE CÁLCULO'!C209</f>
        <v>475453</v>
      </c>
      <c r="D208" s="34" t="str">
        <f>'APÊNDICE II-MEMÓRIA DE CÁLCULO'!D209</f>
        <v>Pinça cirúrgica - modelo: mosquito, formato ponta: curva, tamanho: 10 cm, material: aço inoxidável AISI-420, esterilidade: esterilizável, características adicionais: possui travas para mantê-la fechada, embalagem plástica individual, constando os dados de identificação, procedência, rastreabilidade e registro em órgão competente.</v>
      </c>
      <c r="E208" s="33" t="str">
        <f>'APÊNDICE II-MEMÓRIA DE CÁLCULO'!E209</f>
        <v>UNIDADE</v>
      </c>
      <c r="F208" s="35">
        <f>'APÊNDICE II-MEMÓRIA DE CÁLCULO'!L209</f>
        <v>5</v>
      </c>
      <c r="G208" s="63" t="s">
        <v>809</v>
      </c>
      <c r="H208" s="64">
        <v>3</v>
      </c>
      <c r="I208" s="67">
        <v>23.97</v>
      </c>
      <c r="J208" s="73" t="s">
        <v>810</v>
      </c>
      <c r="K208" s="66">
        <v>1</v>
      </c>
      <c r="L208" s="67">
        <v>34.97</v>
      </c>
      <c r="M208" s="63" t="s">
        <v>416</v>
      </c>
      <c r="N208" s="66">
        <v>1</v>
      </c>
      <c r="O208" s="67">
        <v>45.66</v>
      </c>
      <c r="P208" s="68" t="s">
        <v>775</v>
      </c>
      <c r="Q208" s="66">
        <v>1</v>
      </c>
      <c r="R208" s="67">
        <v>44.5</v>
      </c>
      <c r="S208" s="68" t="s">
        <v>360</v>
      </c>
      <c r="T208" s="66">
        <v>1</v>
      </c>
      <c r="U208" s="67">
        <v>51.96</v>
      </c>
      <c r="V208" s="37">
        <f t="shared" si="34"/>
        <v>9.7710212362884725</v>
      </c>
      <c r="W208" s="58">
        <f t="shared" si="35"/>
        <v>0.24298769611778753</v>
      </c>
      <c r="X208" s="23">
        <f t="shared" si="41"/>
        <v>35.57</v>
      </c>
      <c r="Y208" s="38">
        <f t="shared" si="33"/>
        <v>177.85</v>
      </c>
      <c r="Z208" s="6">
        <f t="shared" si="37"/>
        <v>39.734999999999999</v>
      </c>
      <c r="AA208" s="5">
        <f t="shared" si="38"/>
        <v>40.212000000000003</v>
      </c>
      <c r="AB208" s="8">
        <f t="shared" si="39"/>
        <v>9.7710212362884725</v>
      </c>
      <c r="AC208" s="7">
        <f t="shared" si="40"/>
        <v>0.24298769611778753</v>
      </c>
      <c r="AD208" s="5"/>
      <c r="AE208" s="5"/>
    </row>
    <row r="209" spans="1:31" ht="111" customHeight="1" x14ac:dyDescent="0.3">
      <c r="A209" s="26">
        <v>205</v>
      </c>
      <c r="B209" s="32">
        <f>'APÊNDICE II-MEMÓRIA DE CÁLCULO'!B210</f>
        <v>12472</v>
      </c>
      <c r="C209" s="33">
        <f>'APÊNDICE II-MEMÓRIA DE CÁLCULO'!C210</f>
        <v>475452</v>
      </c>
      <c r="D209" s="34" t="str">
        <f>'APÊNDICE II-MEMÓRIA DE CÁLCULO'!D210</f>
        <v>Pinça cirúrgica - modelo: mosquito, formato ponta: reta, tamanho: 10 cm, material: aço inoxidável AISI-420, esterilidade: esterilizável, características adicionais: possui travas para mantê-la fechada, embalagem plástica individual, constando os dados de identificação, procedência, rastreabilidade e registro em órgão competente.</v>
      </c>
      <c r="E209" s="33" t="str">
        <f>'APÊNDICE II-MEMÓRIA DE CÁLCULO'!E210</f>
        <v>UNIDADE</v>
      </c>
      <c r="F209" s="35">
        <f>'APÊNDICE II-MEMÓRIA DE CÁLCULO'!L210</f>
        <v>5</v>
      </c>
      <c r="G209" s="63" t="s">
        <v>809</v>
      </c>
      <c r="H209" s="64">
        <v>5</v>
      </c>
      <c r="I209" s="67">
        <v>38.159999999999997</v>
      </c>
      <c r="J209" s="73" t="s">
        <v>810</v>
      </c>
      <c r="K209" s="66">
        <v>2</v>
      </c>
      <c r="L209" s="67">
        <v>29.69</v>
      </c>
      <c r="M209" s="63" t="s">
        <v>467</v>
      </c>
      <c r="N209" s="66">
        <v>1</v>
      </c>
      <c r="O209" s="67">
        <v>44.78</v>
      </c>
      <c r="P209" s="68" t="s">
        <v>779</v>
      </c>
      <c r="Q209" s="66">
        <v>1</v>
      </c>
      <c r="R209" s="67">
        <v>57</v>
      </c>
      <c r="S209" s="40" t="s">
        <v>31</v>
      </c>
      <c r="T209" s="55" t="s">
        <v>31</v>
      </c>
      <c r="U209" s="37" t="s">
        <v>31</v>
      </c>
      <c r="V209" s="37">
        <f t="shared" si="34"/>
        <v>9.9793020171753604</v>
      </c>
      <c r="W209" s="58">
        <f t="shared" si="35"/>
        <v>0.23531927176031034</v>
      </c>
      <c r="X209" s="23">
        <f>ROUND(SUM(I209*H209,L209*K209,O209*N209,R209*Q209,)/SUM(H209,K209,N209,Q209,),2)</f>
        <v>39.11</v>
      </c>
      <c r="Y209" s="38">
        <f t="shared" si="33"/>
        <v>195.55</v>
      </c>
      <c r="Z209" s="6">
        <f t="shared" si="37"/>
        <v>38.159999999999997</v>
      </c>
      <c r="AA209" s="5">
        <f t="shared" si="38"/>
        <v>42.407499999999999</v>
      </c>
      <c r="AB209" s="8">
        <f t="shared" si="39"/>
        <v>9.9793020171753604</v>
      </c>
      <c r="AC209" s="7">
        <f t="shared" si="40"/>
        <v>0.23531927176031034</v>
      </c>
      <c r="AD209" s="5"/>
      <c r="AE209" s="5"/>
    </row>
    <row r="210" spans="1:31" ht="111" customHeight="1" x14ac:dyDescent="0.3">
      <c r="A210" s="26">
        <v>206</v>
      </c>
      <c r="B210" s="32">
        <f>'APÊNDICE II-MEMÓRIA DE CÁLCULO'!B211</f>
        <v>12473</v>
      </c>
      <c r="C210" s="70">
        <f>'APÊNDICE II-MEMÓRIA DE CÁLCULO'!C211</f>
        <v>467862</v>
      </c>
      <c r="D210" s="34" t="str">
        <f>'APÊNDICE II-MEMÓRIA DE CÁLCULO'!D211</f>
        <v>Pinça cirúrgica - modelo: Magil, formato ponta: retas e serrilhadas, tamanho: 20 cm, material: aço inoxidável AISI-420, esterilidade: esterilizável, características adicionais: embalagem plástica individual, constando os dados de identificação, procedência, rastreabilidade e registro em órgão competente.</v>
      </c>
      <c r="E210" s="33" t="str">
        <f>'APÊNDICE II-MEMÓRIA DE CÁLCULO'!E211</f>
        <v>UNIDADE</v>
      </c>
      <c r="F210" s="35">
        <f>'APÊNDICE II-MEMÓRIA DE CÁLCULO'!L211</f>
        <v>5</v>
      </c>
      <c r="G210" s="63" t="s">
        <v>809</v>
      </c>
      <c r="H210" s="64">
        <v>1</v>
      </c>
      <c r="I210" s="67">
        <v>89.99</v>
      </c>
      <c r="J210" s="73" t="s">
        <v>810</v>
      </c>
      <c r="K210" s="66">
        <v>1</v>
      </c>
      <c r="L210" s="67">
        <v>94.05</v>
      </c>
      <c r="M210" s="63" t="s">
        <v>466</v>
      </c>
      <c r="N210" s="66">
        <v>1</v>
      </c>
      <c r="O210" s="67">
        <v>104.69</v>
      </c>
      <c r="P210" s="68" t="s">
        <v>398</v>
      </c>
      <c r="Q210" s="66">
        <v>1</v>
      </c>
      <c r="R210" s="67">
        <v>98.4</v>
      </c>
      <c r="S210" s="68" t="s">
        <v>811</v>
      </c>
      <c r="T210" s="66">
        <v>1</v>
      </c>
      <c r="U210" s="67">
        <v>100.99</v>
      </c>
      <c r="V210" s="37">
        <f t="shared" si="34"/>
        <v>5.1558107024986874</v>
      </c>
      <c r="W210" s="58">
        <f t="shared" si="35"/>
        <v>5.2812942539730873E-2</v>
      </c>
      <c r="X210" s="23">
        <f>ROUND(SUM(I210*H210,L210*K210,O210*N210,R210*Q210,U210*T210,)/SUM(H210,K210,N210,Q210,T210,),2)</f>
        <v>97.62</v>
      </c>
      <c r="Y210" s="38">
        <f t="shared" si="33"/>
        <v>488.1</v>
      </c>
      <c r="Z210" s="6">
        <f t="shared" si="37"/>
        <v>96.224999999999994</v>
      </c>
      <c r="AA210" s="5">
        <f t="shared" si="38"/>
        <v>97.624000000000009</v>
      </c>
      <c r="AB210" s="8">
        <f t="shared" si="39"/>
        <v>5.1558107024986874</v>
      </c>
      <c r="AC210" s="7">
        <f t="shared" si="40"/>
        <v>5.2812942539730873E-2</v>
      </c>
      <c r="AD210" s="5"/>
      <c r="AE210" s="5"/>
    </row>
    <row r="211" spans="1:31" ht="111" customHeight="1" x14ac:dyDescent="0.3">
      <c r="A211" s="26">
        <v>207</v>
      </c>
      <c r="B211" s="32">
        <f>'APÊNDICE II-MEMÓRIA DE CÁLCULO'!B212</f>
        <v>12476</v>
      </c>
      <c r="C211" s="33">
        <f>'APÊNDICE II-MEMÓRIA DE CÁLCULO'!C212</f>
        <v>471145</v>
      </c>
      <c r="D211" s="34" t="str">
        <f>'APÊNDICE II-MEMÓRIA DE CÁLCULO'!D212</f>
        <v>Porta-agulha instrumental - modelo: Mayo Hegar, tamanho: 14 cm, material: aço inoxidável AISI-420, esterilidade: esterilizável, características adicionais: embalagem plástica individual, constando os dados de identificação, procedência, rastreabilidade e registro em órgão competente.</v>
      </c>
      <c r="E211" s="33" t="str">
        <f>'APÊNDICE II-MEMÓRIA DE CÁLCULO'!E212</f>
        <v>UNIDADE</v>
      </c>
      <c r="F211" s="35">
        <f>'APÊNDICE II-MEMÓRIA DE CÁLCULO'!L212</f>
        <v>10</v>
      </c>
      <c r="G211" s="63" t="s">
        <v>809</v>
      </c>
      <c r="H211" s="64">
        <v>3</v>
      </c>
      <c r="I211" s="67">
        <v>46.95</v>
      </c>
      <c r="J211" s="73" t="s">
        <v>810</v>
      </c>
      <c r="K211" s="66">
        <v>4</v>
      </c>
      <c r="L211" s="67">
        <v>40.75</v>
      </c>
      <c r="M211" s="63" t="s">
        <v>412</v>
      </c>
      <c r="N211" s="66">
        <v>1</v>
      </c>
      <c r="O211" s="67">
        <v>37.229999999999997</v>
      </c>
      <c r="P211" s="68" t="s">
        <v>398</v>
      </c>
      <c r="Q211" s="66">
        <v>1</v>
      </c>
      <c r="R211" s="67">
        <v>36</v>
      </c>
      <c r="S211" s="68" t="s">
        <v>765</v>
      </c>
      <c r="T211" s="66">
        <v>1</v>
      </c>
      <c r="U211" s="67">
        <v>24.4</v>
      </c>
      <c r="V211" s="37">
        <f t="shared" si="34"/>
        <v>7.3872338530738038</v>
      </c>
      <c r="W211" s="58">
        <f t="shared" si="35"/>
        <v>0.199299461853823</v>
      </c>
      <c r="X211" s="23">
        <f>ROUND(SUM(I211*H211,L211*K211,O211*N211,R211*Q211,U211*T211,)/SUM(H211,K211,N211,Q211,T211,),2)</f>
        <v>40.15</v>
      </c>
      <c r="Y211" s="38">
        <f t="shared" si="33"/>
        <v>401.5</v>
      </c>
      <c r="Z211" s="6">
        <f t="shared" si="37"/>
        <v>36.614999999999995</v>
      </c>
      <c r="AA211" s="5">
        <f t="shared" si="38"/>
        <v>37.066000000000003</v>
      </c>
      <c r="AB211" s="8">
        <f t="shared" si="39"/>
        <v>7.3872338530738038</v>
      </c>
      <c r="AC211" s="7">
        <f t="shared" si="40"/>
        <v>0.199299461853823</v>
      </c>
      <c r="AD211" s="5"/>
      <c r="AE211" s="5"/>
    </row>
    <row r="212" spans="1:31" ht="111" customHeight="1" x14ac:dyDescent="0.3">
      <c r="A212" s="26">
        <v>208</v>
      </c>
      <c r="B212" s="32">
        <f>'APÊNDICE II-MEMÓRIA DE CÁLCULO'!B213</f>
        <v>12477</v>
      </c>
      <c r="C212" s="33">
        <f>'APÊNDICE II-MEMÓRIA DE CÁLCULO'!C213</f>
        <v>471148</v>
      </c>
      <c r="D212" s="34" t="str">
        <f>'APÊNDICE II-MEMÓRIA DE CÁLCULO'!D213</f>
        <v>Porta-agulha instrumental - modelo: Mayo Hegar, tamanho: 20 cm, material: aço inoxidável AISI-420, esterilidade: esterilizável, características adicionais: embalagem plástica individual, constando os dados de identificação, procedência, rastreabilidade e registro em órgão competente.</v>
      </c>
      <c r="E212" s="33" t="str">
        <f>'APÊNDICE II-MEMÓRIA DE CÁLCULO'!E213</f>
        <v>UNIDADE</v>
      </c>
      <c r="F212" s="35">
        <f>'APÊNDICE II-MEMÓRIA DE CÁLCULO'!L213</f>
        <v>10</v>
      </c>
      <c r="G212" s="63" t="s">
        <v>809</v>
      </c>
      <c r="H212" s="64">
        <v>1</v>
      </c>
      <c r="I212" s="67">
        <v>55</v>
      </c>
      <c r="J212" s="73" t="s">
        <v>810</v>
      </c>
      <c r="K212" s="66">
        <v>1</v>
      </c>
      <c r="L212" s="67">
        <v>56</v>
      </c>
      <c r="M212" s="63" t="s">
        <v>414</v>
      </c>
      <c r="N212" s="66">
        <v>1</v>
      </c>
      <c r="O212" s="67">
        <v>87.81</v>
      </c>
      <c r="P212" s="68" t="s">
        <v>398</v>
      </c>
      <c r="Q212" s="66">
        <v>1</v>
      </c>
      <c r="R212" s="67">
        <v>63.4</v>
      </c>
      <c r="S212" s="68" t="s">
        <v>780</v>
      </c>
      <c r="T212" s="66">
        <v>1</v>
      </c>
      <c r="U212" s="67">
        <v>55.7</v>
      </c>
      <c r="V212" s="37">
        <f t="shared" si="34"/>
        <v>12.492337491438484</v>
      </c>
      <c r="W212" s="58">
        <f t="shared" si="35"/>
        <v>0.19647600722592057</v>
      </c>
      <c r="X212" s="23">
        <f>ROUND(SUM(I212*H212,L212*K212,O212*N212,R212*Q212,U212*T212,)/SUM(H212,K212,N212,Q212,T212,),2)</f>
        <v>63.58</v>
      </c>
      <c r="Y212" s="38">
        <f t="shared" si="33"/>
        <v>635.79999999999995</v>
      </c>
      <c r="Z212" s="6">
        <f t="shared" si="37"/>
        <v>55.85</v>
      </c>
      <c r="AA212" s="5">
        <f t="shared" si="38"/>
        <v>63.582000000000008</v>
      </c>
      <c r="AB212" s="8">
        <f t="shared" si="39"/>
        <v>12.492337491438484</v>
      </c>
      <c r="AC212" s="7">
        <f t="shared" si="40"/>
        <v>0.19647600722592057</v>
      </c>
      <c r="AD212" s="5"/>
      <c r="AE212" s="5"/>
    </row>
    <row r="213" spans="1:31" ht="111" customHeight="1" x14ac:dyDescent="0.3">
      <c r="A213" s="26">
        <v>209</v>
      </c>
      <c r="B213" s="32">
        <f>'APÊNDICE II-MEMÓRIA DE CÁLCULO'!B214</f>
        <v>12478</v>
      </c>
      <c r="C213" s="33">
        <f>'APÊNDICE II-MEMÓRIA DE CÁLCULO'!C214</f>
        <v>453771</v>
      </c>
      <c r="D213" s="34" t="str">
        <f>'APÊNDICE II-MEMÓRIA DE CÁLCULO'!D214</f>
        <v>Pá para desfibrilador - tipo: adesiva, tipo equipamento: externo automático, tamanho: adulto, esterilidade: descartável, características adicionais: utilização em pacientes em situações de parada cardio respiratória, referência: compatibilidade com modelo antigo, conector azul e branco.</v>
      </c>
      <c r="E213" s="33" t="str">
        <f>'APÊNDICE II-MEMÓRIA DE CÁLCULO'!E214</f>
        <v>UNIDADE</v>
      </c>
      <c r="F213" s="35">
        <f>'APÊNDICE II-MEMÓRIA DE CÁLCULO'!L214</f>
        <v>5</v>
      </c>
      <c r="G213" s="63" t="s">
        <v>809</v>
      </c>
      <c r="H213" s="64">
        <v>1</v>
      </c>
      <c r="I213" s="67">
        <v>599.9</v>
      </c>
      <c r="J213" s="73" t="s">
        <v>810</v>
      </c>
      <c r="K213" s="66">
        <v>1</v>
      </c>
      <c r="L213" s="67">
        <v>623.33000000000004</v>
      </c>
      <c r="M213" s="63" t="s">
        <v>535</v>
      </c>
      <c r="N213" s="66">
        <v>1</v>
      </c>
      <c r="O213" s="67">
        <v>875</v>
      </c>
      <c r="P213" s="68" t="s">
        <v>781</v>
      </c>
      <c r="Q213" s="66">
        <v>1</v>
      </c>
      <c r="R213" s="67">
        <v>945</v>
      </c>
      <c r="S213" s="68" t="s">
        <v>782</v>
      </c>
      <c r="T213" s="66">
        <v>1</v>
      </c>
      <c r="U213" s="67">
        <v>677.7</v>
      </c>
      <c r="V213" s="37">
        <f t="shared" si="34"/>
        <v>139.48732983321429</v>
      </c>
      <c r="W213" s="58">
        <f t="shared" si="35"/>
        <v>0.18743611117813863</v>
      </c>
      <c r="X213" s="23">
        <f>ROUND(SUM(I213*H213,L213*K213,O213*N213,R213*Q213,U213*T213,)/SUM(H213,K213,N213,Q213,T213,),2)</f>
        <v>744.19</v>
      </c>
      <c r="Y213" s="38">
        <f t="shared" si="33"/>
        <v>3720.9500000000003</v>
      </c>
      <c r="Z213" s="6">
        <f t="shared" si="37"/>
        <v>650.5150000000001</v>
      </c>
      <c r="AA213" s="5">
        <f t="shared" si="38"/>
        <v>744.18600000000004</v>
      </c>
      <c r="AB213" s="8">
        <f t="shared" si="39"/>
        <v>139.48732983321429</v>
      </c>
      <c r="AC213" s="7">
        <f t="shared" si="40"/>
        <v>0.18743611117813863</v>
      </c>
      <c r="AD213" s="5"/>
      <c r="AE213" s="5"/>
    </row>
    <row r="214" spans="1:31" ht="111" customHeight="1" x14ac:dyDescent="0.3">
      <c r="A214" s="26">
        <v>210</v>
      </c>
      <c r="B214" s="32">
        <f>'APÊNDICE II-MEMÓRIA DE CÁLCULO'!B215</f>
        <v>12479</v>
      </c>
      <c r="C214" s="33">
        <f>'APÊNDICE II-MEMÓRIA DE CÁLCULO'!C215</f>
        <v>453772</v>
      </c>
      <c r="D214" s="34" t="str">
        <f>'APÊNDICE II-MEMÓRIA DE CÁLCULO'!D215</f>
        <v>Pá para desfibrilador - tipo: adesiva, tipo equipamento: externo automático, tamanho: pediátrica, esterilidade: descartável, características adicionais: utilização em pacientes em situações de parada cardio respiratória, referência: compatibilidade com modelo antigo, conector azul e branco.</v>
      </c>
      <c r="E214" s="33" t="str">
        <f>'APÊNDICE II-MEMÓRIA DE CÁLCULO'!E215</f>
        <v>UNIDADE</v>
      </c>
      <c r="F214" s="35">
        <f>'APÊNDICE II-MEMÓRIA DE CÁLCULO'!L215</f>
        <v>5</v>
      </c>
      <c r="G214" s="63" t="s">
        <v>809</v>
      </c>
      <c r="H214" s="64">
        <v>1</v>
      </c>
      <c r="I214" s="67">
        <v>599.89</v>
      </c>
      <c r="J214" s="73" t="s">
        <v>810</v>
      </c>
      <c r="K214" s="66">
        <v>2</v>
      </c>
      <c r="L214" s="67">
        <v>538.35</v>
      </c>
      <c r="M214" s="63" t="s">
        <v>536</v>
      </c>
      <c r="N214" s="66">
        <v>1</v>
      </c>
      <c r="O214" s="67">
        <v>758</v>
      </c>
      <c r="P214" s="68" t="s">
        <v>761</v>
      </c>
      <c r="Q214" s="66">
        <v>1</v>
      </c>
      <c r="R214" s="67">
        <v>511.43</v>
      </c>
      <c r="S214" s="40" t="s">
        <v>31</v>
      </c>
      <c r="T214" s="55" t="s">
        <v>31</v>
      </c>
      <c r="U214" s="37" t="s">
        <v>31</v>
      </c>
      <c r="V214" s="37">
        <f t="shared" si="34"/>
        <v>95.648669978991066</v>
      </c>
      <c r="W214" s="58">
        <f t="shared" si="35"/>
        <v>0.15890661092091701</v>
      </c>
      <c r="X214" s="23">
        <f>ROUND(SUM(I214*H214,L214*K214,O214*N214,R214*Q214,)/SUM(H214,K214,N214,Q214,),2)</f>
        <v>589.20000000000005</v>
      </c>
      <c r="Y214" s="38">
        <f t="shared" si="33"/>
        <v>2946</v>
      </c>
      <c r="Z214" s="6">
        <f t="shared" si="37"/>
        <v>538.35</v>
      </c>
      <c r="AA214" s="5">
        <f t="shared" si="38"/>
        <v>601.91750000000002</v>
      </c>
      <c r="AB214" s="8">
        <f t="shared" si="39"/>
        <v>95.648669978991066</v>
      </c>
      <c r="AC214" s="7">
        <f t="shared" si="40"/>
        <v>0.15890661092091701</v>
      </c>
      <c r="AD214" s="5"/>
      <c r="AE214" s="5"/>
    </row>
    <row r="215" spans="1:31" ht="111" customHeight="1" x14ac:dyDescent="0.3">
      <c r="A215" s="26">
        <v>211</v>
      </c>
      <c r="B215" s="32">
        <f>'APÊNDICE II-MEMÓRIA DE CÁLCULO'!B216</f>
        <v>12480</v>
      </c>
      <c r="C215" s="33">
        <f>'APÊNDICE II-MEMÓRIA DE CÁLCULO'!C216</f>
        <v>413334</v>
      </c>
      <c r="D215" s="34" t="str">
        <f>'APÊNDICE II-MEMÓRIA DE CÁLCULO'!D216</f>
        <v>Pinça clínica - aplicação: para algodão, tamanho: Nº 17, material: aço inoxidável, esterilidade: autoclavável, características adicionais: utilizada para realização de curativos e desinfecção de feridas em pacientes com ferimentos contaminados, embalagem plástica individual, constando os dados de identificação, e registro em órgão competente.</v>
      </c>
      <c r="E215" s="33" t="str">
        <f>'APÊNDICE II-MEMÓRIA DE CÁLCULO'!E216</f>
        <v>UNIDADE</v>
      </c>
      <c r="F215" s="35">
        <f>'APÊNDICE II-MEMÓRIA DE CÁLCULO'!L216</f>
        <v>50</v>
      </c>
      <c r="G215" s="63" t="s">
        <v>809</v>
      </c>
      <c r="H215" s="64">
        <v>4</v>
      </c>
      <c r="I215" s="67">
        <v>11.01</v>
      </c>
      <c r="J215" s="73" t="s">
        <v>810</v>
      </c>
      <c r="K215" s="66">
        <v>5</v>
      </c>
      <c r="L215" s="67">
        <v>18.3</v>
      </c>
      <c r="M215" s="63" t="s">
        <v>417</v>
      </c>
      <c r="N215" s="66">
        <v>1</v>
      </c>
      <c r="O215" s="67">
        <v>21.41</v>
      </c>
      <c r="P215" s="68" t="s">
        <v>783</v>
      </c>
      <c r="Q215" s="66">
        <v>1</v>
      </c>
      <c r="R215" s="67">
        <v>16.5</v>
      </c>
      <c r="S215" s="68" t="s">
        <v>685</v>
      </c>
      <c r="T215" s="66">
        <v>1</v>
      </c>
      <c r="U215" s="67">
        <v>17.149999999999999</v>
      </c>
      <c r="V215" s="37">
        <f t="shared" si="34"/>
        <v>3.3826415713167282</v>
      </c>
      <c r="W215" s="58">
        <f t="shared" si="35"/>
        <v>0.20046471324622073</v>
      </c>
      <c r="X215" s="23">
        <f>ROUND(SUM(I215*H215,L215*K215,O215*N215,R215*Q215,U215*T215,)/SUM(H215,K215,N215,Q215,T215,),2)</f>
        <v>15.88</v>
      </c>
      <c r="Y215" s="38">
        <f t="shared" si="33"/>
        <v>794</v>
      </c>
      <c r="Z215" s="6">
        <f t="shared" si="37"/>
        <v>16.824999999999999</v>
      </c>
      <c r="AA215" s="5">
        <f t="shared" si="38"/>
        <v>16.873999999999999</v>
      </c>
      <c r="AB215" s="8">
        <f t="shared" si="39"/>
        <v>3.3826415713167282</v>
      </c>
      <c r="AC215" s="7">
        <f t="shared" si="40"/>
        <v>0.20046471324622073</v>
      </c>
      <c r="AD215" s="5"/>
      <c r="AE215" s="5"/>
    </row>
    <row r="216" spans="1:31" ht="111" customHeight="1" x14ac:dyDescent="0.3">
      <c r="A216" s="26">
        <v>212</v>
      </c>
      <c r="B216" s="32">
        <f>'APÊNDICE II-MEMÓRIA DE CÁLCULO'!B217</f>
        <v>12481</v>
      </c>
      <c r="C216" s="33">
        <f>'APÊNDICE II-MEMÓRIA DE CÁLCULO'!C217</f>
        <v>339561</v>
      </c>
      <c r="D216" s="34" t="str">
        <f>'APÊNDICE II-MEMÓRIA DE CÁLCULO'!D217</f>
        <v xml:space="preserve">Reagente para diagnóstico clínico - tipo: uroanálise, apresentação: tira, caixa com 150 unidades, características adicionais: tiras reativas que possuem 11 áreas para a determinação rápida de: sangue, urobilinogênio, bilirrubina, proteínas, nitrito, corpos cetônicos, ácido ascórbico, glicose, pH, densidade e leucócitos em amostras de urina. Em embalagem contendo externamente dados de identificação e procedência. </v>
      </c>
      <c r="E216" s="33" t="str">
        <f>'APÊNDICE II-MEMÓRIA DE CÁLCULO'!E217</f>
        <v xml:space="preserve">CAIXA </v>
      </c>
      <c r="F216" s="35">
        <f>'APÊNDICE II-MEMÓRIA DE CÁLCULO'!L217</f>
        <v>20</v>
      </c>
      <c r="G216" s="63" t="s">
        <v>809</v>
      </c>
      <c r="H216" s="64">
        <v>1</v>
      </c>
      <c r="I216" s="67">
        <v>96.5</v>
      </c>
      <c r="J216" s="73" t="s">
        <v>810</v>
      </c>
      <c r="K216" s="66">
        <v>1</v>
      </c>
      <c r="L216" s="67">
        <f>0.36*150</f>
        <v>54</v>
      </c>
      <c r="M216" s="63" t="s">
        <v>468</v>
      </c>
      <c r="N216" s="66">
        <v>1</v>
      </c>
      <c r="O216" s="67">
        <v>80.67</v>
      </c>
      <c r="P216" s="68" t="s">
        <v>773</v>
      </c>
      <c r="Q216" s="66">
        <v>1</v>
      </c>
      <c r="R216" s="67">
        <v>101.81</v>
      </c>
      <c r="S216" s="40" t="s">
        <v>31</v>
      </c>
      <c r="T216" s="55" t="s">
        <v>31</v>
      </c>
      <c r="U216" s="37" t="s">
        <v>31</v>
      </c>
      <c r="V216" s="37">
        <f t="shared" si="34"/>
        <v>18.589344394033912</v>
      </c>
      <c r="W216" s="58">
        <f t="shared" si="35"/>
        <v>0.22330884009891178</v>
      </c>
      <c r="X216" s="23">
        <f>ROUND(SUM(I216*H216,L216*K216,O216*N216,R216*Q216,)/SUM(H216,K216,N216,Q216,),2)</f>
        <v>83.25</v>
      </c>
      <c r="Y216" s="38">
        <f t="shared" si="33"/>
        <v>1665</v>
      </c>
      <c r="Z216" s="6">
        <f t="shared" si="37"/>
        <v>80.67</v>
      </c>
      <c r="AA216" s="5">
        <f t="shared" si="38"/>
        <v>83.245000000000005</v>
      </c>
      <c r="AB216" s="8">
        <f t="shared" si="39"/>
        <v>18.589344394033912</v>
      </c>
      <c r="AC216" s="7">
        <f t="shared" si="40"/>
        <v>0.22330884009891178</v>
      </c>
      <c r="AD216" s="5"/>
      <c r="AE216" s="5"/>
    </row>
    <row r="217" spans="1:31" ht="162" customHeight="1" x14ac:dyDescent="0.3">
      <c r="A217" s="26">
        <v>213</v>
      </c>
      <c r="B217" s="32">
        <f>'APÊNDICE II-MEMÓRIA DE CÁLCULO'!B218</f>
        <v>12483</v>
      </c>
      <c r="C217" s="33">
        <f>'APÊNDICE II-MEMÓRIA DE CÁLCULO'!C218</f>
        <v>339565</v>
      </c>
      <c r="D217" s="34" t="str">
        <f>'APÊNDICE II-MEMÓRIA DE CÁLCULO'!D218</f>
        <v xml:space="preserve">Reagente para diagnóstico clínico - tipo de análise: determinação de glicose no sangue, apresentação: tira, apresentação: caixa com 50 tiras, características adicionais: reagente, para indicação de glicemia no sangue, capilar/venoso, compatível com aparelho especificado, o qual deverá ser oferecido quando solicitado, tubos com 50 fitas individuais, para uso manual, a empresa ganhadora das fitas deverá fornecer os aparelhos em regime de comodato. Embalagem contendo externamente dados de identificação e procedência, lote, prazo de validade e registro em órgão competente. </v>
      </c>
      <c r="E217" s="33" t="str">
        <f>'APÊNDICE II-MEMÓRIA DE CÁLCULO'!E218</f>
        <v>CAIXA</v>
      </c>
      <c r="F217" s="35">
        <f>'APÊNDICE II-MEMÓRIA DE CÁLCULO'!L218</f>
        <v>2688</v>
      </c>
      <c r="G217" s="63" t="s">
        <v>809</v>
      </c>
      <c r="H217" s="64">
        <v>2</v>
      </c>
      <c r="I217" s="67">
        <f>1.19*50</f>
        <v>59.5</v>
      </c>
      <c r="J217" s="73" t="s">
        <v>810</v>
      </c>
      <c r="K217" s="66">
        <v>3</v>
      </c>
      <c r="L217" s="67">
        <f>1.31*50</f>
        <v>65.5</v>
      </c>
      <c r="M217" s="63" t="s">
        <v>559</v>
      </c>
      <c r="N217" s="66">
        <v>1</v>
      </c>
      <c r="O217" s="67">
        <v>18.59</v>
      </c>
      <c r="P217" s="68" t="s">
        <v>685</v>
      </c>
      <c r="Q217" s="66">
        <v>1</v>
      </c>
      <c r="R217" s="67">
        <v>72.13</v>
      </c>
      <c r="S217" s="68" t="s">
        <v>762</v>
      </c>
      <c r="T217" s="66">
        <v>1</v>
      </c>
      <c r="U217" s="67">
        <v>64.900000000000006</v>
      </c>
      <c r="V217" s="37">
        <f t="shared" si="34"/>
        <v>19.190196038602608</v>
      </c>
      <c r="W217" s="58">
        <f t="shared" si="35"/>
        <v>0.34192495258004785</v>
      </c>
      <c r="X217" s="23">
        <f>ROUND(SUM(I217*H217,L217*K217,O217*N217,R217*Q217,U217*T217,)/SUM(H217,K217,N217,Q217,T217,),2)</f>
        <v>58.89</v>
      </c>
      <c r="Y217" s="38">
        <f t="shared" si="33"/>
        <v>158296.32000000001</v>
      </c>
      <c r="Z217" s="6">
        <f t="shared" si="37"/>
        <v>62.2</v>
      </c>
      <c r="AA217" s="5">
        <f t="shared" si="38"/>
        <v>56.124000000000002</v>
      </c>
      <c r="AB217" s="8">
        <f t="shared" si="39"/>
        <v>19.190196038602608</v>
      </c>
      <c r="AC217" s="7">
        <f t="shared" si="40"/>
        <v>0.34192495258004785</v>
      </c>
      <c r="AD217" s="5"/>
      <c r="AE217" s="5"/>
    </row>
    <row r="218" spans="1:31" ht="162" customHeight="1" x14ac:dyDescent="0.3">
      <c r="A218" s="26">
        <v>214</v>
      </c>
      <c r="B218" s="32">
        <f>'APÊNDICE II-MEMÓRIA DE CÁLCULO'!B219</f>
        <v>12484</v>
      </c>
      <c r="C218" s="33">
        <f>'APÊNDICE II-MEMÓRIA DE CÁLCULO'!C219</f>
        <v>464785</v>
      </c>
      <c r="D218" s="34" t="str">
        <f>'APÊNDICE II-MEMÓRIA DE CÁLCULO'!D219</f>
        <v>Sapatilha hospitalar - tipo uso: descartável, material: confeccionada em tecido (sem textura firme), modelo tipo: bota, tamanho: único, características adicionais: modelo de forma que permita a cobertura completa do calçado até o tornozelo, com elástico em toda a sua volta,cor: verde ou branca. Embalagem contendo externamente dados de identificação e procedência.</v>
      </c>
      <c r="E218" s="33" t="str">
        <f>'APÊNDICE II-MEMÓRIA DE CÁLCULO'!E219</f>
        <v>UNIDADE</v>
      </c>
      <c r="F218" s="35">
        <f>'APÊNDICE II-MEMÓRIA DE CÁLCULO'!L219</f>
        <v>3600</v>
      </c>
      <c r="G218" s="63" t="s">
        <v>809</v>
      </c>
      <c r="H218" s="64">
        <v>1</v>
      </c>
      <c r="I218" s="67">
        <v>7.0000000000000007E-2</v>
      </c>
      <c r="J218" s="73" t="s">
        <v>810</v>
      </c>
      <c r="K218" s="66">
        <v>1</v>
      </c>
      <c r="L218" s="67">
        <v>0.1</v>
      </c>
      <c r="M218" s="63" t="s">
        <v>602</v>
      </c>
      <c r="N218" s="66">
        <v>1</v>
      </c>
      <c r="O218" s="67">
        <v>0.1</v>
      </c>
      <c r="P218" s="68" t="s">
        <v>813</v>
      </c>
      <c r="Q218" s="66">
        <v>1</v>
      </c>
      <c r="R218" s="67">
        <f>11.14/100</f>
        <v>0.1114</v>
      </c>
      <c r="S218" s="68" t="s">
        <v>837</v>
      </c>
      <c r="T218" s="66">
        <v>1</v>
      </c>
      <c r="U218" s="67">
        <f>15/100</f>
        <v>0.15</v>
      </c>
      <c r="V218" s="37">
        <f t="shared" si="34"/>
        <v>2.5817699355287289E-2</v>
      </c>
      <c r="W218" s="58">
        <f t="shared" si="35"/>
        <v>0.24292152197297034</v>
      </c>
      <c r="X218" s="23">
        <f>ROUND(SUM(I218*H218,L218*K218,O218*N218,R218*Q218,U218*T218,)/SUM(H218,K218,N218,Q218,T218,),2)</f>
        <v>0.11</v>
      </c>
      <c r="Y218" s="38">
        <f t="shared" si="33"/>
        <v>396</v>
      </c>
      <c r="Z218" s="6">
        <f t="shared" si="37"/>
        <v>0.1</v>
      </c>
      <c r="AA218" s="5">
        <f t="shared" si="38"/>
        <v>0.10628</v>
      </c>
      <c r="AB218" s="8">
        <f t="shared" si="39"/>
        <v>2.5817699355287289E-2</v>
      </c>
      <c r="AC218" s="7">
        <f t="shared" si="40"/>
        <v>0.24292152197297034</v>
      </c>
      <c r="AD218" s="5"/>
      <c r="AE218" s="5"/>
    </row>
    <row r="219" spans="1:31" ht="162" customHeight="1" x14ac:dyDescent="0.3">
      <c r="A219" s="26">
        <v>215</v>
      </c>
      <c r="B219" s="32">
        <f>'APÊNDICE II-MEMÓRIA DE CÁLCULO'!B220</f>
        <v>12485</v>
      </c>
      <c r="C219" s="33">
        <f>'APÊNDICE II-MEMÓRIA DE CÁLCULO'!C220</f>
        <v>417795</v>
      </c>
      <c r="D219" s="34" t="str">
        <f>'APÊNDICE II-MEMÓRIA DE CÁLCULO'!D220</f>
        <v>Seringa - capacidade: 1ML, medidas: com agulha 13x0,45mm, tipo uso: descartável,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19" s="33" t="str">
        <f>'APÊNDICE II-MEMÓRIA DE CÁLCULO'!E220</f>
        <v>UNIDADE</v>
      </c>
      <c r="F219" s="35">
        <f>'APÊNDICE II-MEMÓRIA DE CÁLCULO'!L220</f>
        <v>29500</v>
      </c>
      <c r="G219" s="63" t="s">
        <v>809</v>
      </c>
      <c r="H219" s="64">
        <v>1</v>
      </c>
      <c r="I219" s="67">
        <v>0.35</v>
      </c>
      <c r="J219" s="56" t="s">
        <v>31</v>
      </c>
      <c r="K219" s="55" t="s">
        <v>31</v>
      </c>
      <c r="L219" s="37" t="s">
        <v>31</v>
      </c>
      <c r="M219" s="25" t="s">
        <v>31</v>
      </c>
      <c r="N219" s="55" t="s">
        <v>31</v>
      </c>
      <c r="O219" s="37" t="s">
        <v>31</v>
      </c>
      <c r="P219" s="68" t="s">
        <v>784</v>
      </c>
      <c r="Q219" s="66">
        <v>1</v>
      </c>
      <c r="R219" s="67">
        <f>25.7/100</f>
        <v>0.25700000000000001</v>
      </c>
      <c r="S219" s="68" t="s">
        <v>380</v>
      </c>
      <c r="T219" s="66">
        <v>1</v>
      </c>
      <c r="U219" s="67">
        <v>0.46</v>
      </c>
      <c r="V219" s="37">
        <f t="shared" si="34"/>
        <v>8.2971213214115672E-2</v>
      </c>
      <c r="W219" s="58">
        <f t="shared" si="35"/>
        <v>0.23328363602844146</v>
      </c>
      <c r="X219" s="23">
        <f>ROUND(SUM(I219*H219,R219*Q219,U219*T219,)/SUM(H219,Q219,T219,),2)</f>
        <v>0.36</v>
      </c>
      <c r="Y219" s="38">
        <f t="shared" si="33"/>
        <v>10620</v>
      </c>
      <c r="Z219" s="6">
        <f t="shared" si="37"/>
        <v>0.30349999999999999</v>
      </c>
      <c r="AA219" s="5">
        <f t="shared" si="38"/>
        <v>0.35566666666666663</v>
      </c>
      <c r="AB219" s="8">
        <f t="shared" si="39"/>
        <v>8.2971213214115672E-2</v>
      </c>
      <c r="AC219" s="7">
        <f t="shared" si="40"/>
        <v>0.23328363602844146</v>
      </c>
      <c r="AD219" s="5"/>
      <c r="AE219" s="5"/>
    </row>
    <row r="220" spans="1:31" ht="162" customHeight="1" x14ac:dyDescent="0.3">
      <c r="A220" s="26">
        <v>216</v>
      </c>
      <c r="B220" s="32">
        <f>'APÊNDICE II-MEMÓRIA DE CÁLCULO'!B221</f>
        <v>15339</v>
      </c>
      <c r="C220" s="33" t="str">
        <f>'APÊNDICE II-MEMÓRIA DE CÁLCULO'!C221</f>
        <v>-</v>
      </c>
      <c r="D220" s="34" t="str">
        <f>'APÊNDICE II-MEMÓRIA DE CÁLCULO'!D221</f>
        <v>Seringa - capacidade: 3ML,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0" s="33" t="str">
        <f>'APÊNDICE II-MEMÓRIA DE CÁLCULO'!E221</f>
        <v>UNIDADE</v>
      </c>
      <c r="F220" s="35">
        <f>'APÊNDICE II-MEMÓRIA DE CÁLCULO'!L221</f>
        <v>60000</v>
      </c>
      <c r="G220" s="63" t="s">
        <v>809</v>
      </c>
      <c r="H220" s="64">
        <v>1</v>
      </c>
      <c r="I220" s="67">
        <v>0.45</v>
      </c>
      <c r="J220" s="73" t="s">
        <v>810</v>
      </c>
      <c r="K220" s="66">
        <v>1</v>
      </c>
      <c r="L220" s="67">
        <v>0.5</v>
      </c>
      <c r="M220" s="25" t="s">
        <v>31</v>
      </c>
      <c r="N220" s="55" t="s">
        <v>31</v>
      </c>
      <c r="O220" s="37" t="s">
        <v>31</v>
      </c>
      <c r="P220" s="68" t="s">
        <v>391</v>
      </c>
      <c r="Q220" s="66">
        <v>1</v>
      </c>
      <c r="R220" s="67">
        <v>0.49</v>
      </c>
      <c r="S220" s="68" t="s">
        <v>380</v>
      </c>
      <c r="T220" s="66">
        <v>1</v>
      </c>
      <c r="U220" s="67">
        <v>0.53</v>
      </c>
      <c r="V220" s="37">
        <f t="shared" si="34"/>
        <v>2.8613807855648998E-2</v>
      </c>
      <c r="W220" s="58">
        <f t="shared" si="35"/>
        <v>5.8099102244972584E-2</v>
      </c>
      <c r="X220" s="23">
        <f>ROUND(SUM(I220*H220,L220*K220,R220*Q220,U220*T220,)/SUM(H220,K220,Q220,T220,),2)</f>
        <v>0.49</v>
      </c>
      <c r="Y220" s="38">
        <f t="shared" si="33"/>
        <v>29400</v>
      </c>
      <c r="Z220" s="6">
        <f t="shared" si="37"/>
        <v>0.49</v>
      </c>
      <c r="AA220" s="5">
        <f t="shared" si="38"/>
        <v>0.49249999999999999</v>
      </c>
      <c r="AB220" s="8">
        <f t="shared" si="39"/>
        <v>2.8613807855648998E-2</v>
      </c>
      <c r="AC220" s="7">
        <f t="shared" si="40"/>
        <v>5.8099102244972584E-2</v>
      </c>
      <c r="AD220" s="5"/>
      <c r="AE220" s="5"/>
    </row>
    <row r="221" spans="1:31" ht="162" customHeight="1" x14ac:dyDescent="0.3">
      <c r="A221" s="26">
        <v>217</v>
      </c>
      <c r="B221" s="32">
        <f>'APÊNDICE II-MEMÓRIA DE CÁLCULO'!B222</f>
        <v>15340</v>
      </c>
      <c r="C221" s="33">
        <f>'APÊNDICE II-MEMÓRIA DE CÁLCULO'!C222</f>
        <v>422326</v>
      </c>
      <c r="D221" s="34" t="str">
        <f>'APÊNDICE II-MEMÓRIA DE CÁLCULO'!D222</f>
        <v>Seringa - capacidade: 5ML, tipo uso: descartável, com agulha, de encaixe não rosqueado, material: confeccionada em plástico transparente, características adicionais: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1" s="33" t="str">
        <f>'APÊNDICE II-MEMÓRIA DE CÁLCULO'!E222</f>
        <v>UNIDADE</v>
      </c>
      <c r="F221" s="35">
        <f>'APÊNDICE II-MEMÓRIA DE CÁLCULO'!L222</f>
        <v>52000</v>
      </c>
      <c r="G221" s="63" t="s">
        <v>809</v>
      </c>
      <c r="H221" s="64">
        <v>1</v>
      </c>
      <c r="I221" s="67">
        <v>0.5</v>
      </c>
      <c r="J221" s="73" t="s">
        <v>810</v>
      </c>
      <c r="K221" s="66">
        <v>1</v>
      </c>
      <c r="L221" s="67">
        <v>0.75</v>
      </c>
      <c r="M221" s="25" t="s">
        <v>31</v>
      </c>
      <c r="N221" s="55" t="s">
        <v>31</v>
      </c>
      <c r="O221" s="37" t="s">
        <v>31</v>
      </c>
      <c r="P221" s="68" t="s">
        <v>391</v>
      </c>
      <c r="Q221" s="66">
        <v>1</v>
      </c>
      <c r="R221" s="67">
        <v>0.89</v>
      </c>
      <c r="S221" s="40" t="s">
        <v>31</v>
      </c>
      <c r="T221" s="55" t="s">
        <v>31</v>
      </c>
      <c r="U221" s="37" t="s">
        <v>31</v>
      </c>
      <c r="V221" s="37">
        <f t="shared" si="34"/>
        <v>0.1613140484341716</v>
      </c>
      <c r="W221" s="58">
        <f t="shared" si="35"/>
        <v>0.22614118939369848</v>
      </c>
      <c r="X221" s="23">
        <f>ROUND(SUM(I221*H221,L221*K221,R221*Q221,)/SUM(H221,K221,Q221,),2)</f>
        <v>0.71</v>
      </c>
      <c r="Y221" s="38">
        <f t="shared" si="33"/>
        <v>36920</v>
      </c>
      <c r="Z221" s="6">
        <f t="shared" si="37"/>
        <v>0.625</v>
      </c>
      <c r="AA221" s="5">
        <f t="shared" si="38"/>
        <v>0.71333333333333337</v>
      </c>
      <c r="AB221" s="8">
        <f t="shared" si="39"/>
        <v>0.1613140484341716</v>
      </c>
      <c r="AC221" s="7">
        <f t="shared" si="40"/>
        <v>0.22614118939369848</v>
      </c>
      <c r="AD221" s="5"/>
      <c r="AE221" s="5"/>
    </row>
    <row r="222" spans="1:31" ht="162" customHeight="1" x14ac:dyDescent="0.3">
      <c r="A222" s="26">
        <v>218</v>
      </c>
      <c r="B222" s="32">
        <f>'APÊNDICE II-MEMÓRIA DE CÁLCULO'!B223</f>
        <v>12488</v>
      </c>
      <c r="C222" s="33">
        <f>'APÊNDICE II-MEMÓRIA DE CÁLCULO'!C223</f>
        <v>417796</v>
      </c>
      <c r="D222" s="34" t="str">
        <f>'APÊNDICE II-MEMÓRIA DE CÁLCULO'!D223</f>
        <v>Seringa, capacidade: 10ML, com agulha, tipo uso: descartável, 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2" s="33" t="str">
        <f>'APÊNDICE II-MEMÓRIA DE CÁLCULO'!E223</f>
        <v>UNIDADE</v>
      </c>
      <c r="F222" s="35">
        <f>'APÊNDICE II-MEMÓRIA DE CÁLCULO'!L223</f>
        <v>56500</v>
      </c>
      <c r="G222" s="63" t="s">
        <v>809</v>
      </c>
      <c r="H222" s="64">
        <v>1</v>
      </c>
      <c r="I222" s="67">
        <v>0.32</v>
      </c>
      <c r="J222" s="73" t="s">
        <v>810</v>
      </c>
      <c r="K222" s="66">
        <v>2</v>
      </c>
      <c r="L222" s="67">
        <v>0.66</v>
      </c>
      <c r="M222" s="63" t="s">
        <v>408</v>
      </c>
      <c r="N222" s="66">
        <v>1</v>
      </c>
      <c r="O222" s="67">
        <v>0.28000000000000003</v>
      </c>
      <c r="P222" s="68" t="s">
        <v>391</v>
      </c>
      <c r="Q222" s="66">
        <v>1</v>
      </c>
      <c r="R222" s="67">
        <v>1.0900000000000001</v>
      </c>
      <c r="S222" s="68" t="s">
        <v>767</v>
      </c>
      <c r="T222" s="66">
        <v>1</v>
      </c>
      <c r="U222" s="67">
        <f>43.6/50</f>
        <v>0.872</v>
      </c>
      <c r="V222" s="37">
        <f t="shared" si="34"/>
        <v>0.31261068439834216</v>
      </c>
      <c r="W222" s="58">
        <f t="shared" si="35"/>
        <v>0.48511900123889218</v>
      </c>
      <c r="X222" s="23">
        <f>ROUND(SUM(I222*H222,L222*K222,O222*N222,R222*Q222,U222*T222,)/SUM(H222,K222,N222,Q222,T222,),2)</f>
        <v>0.65</v>
      </c>
      <c r="Y222" s="38">
        <f t="shared" si="33"/>
        <v>36725</v>
      </c>
      <c r="Z222" s="6">
        <f t="shared" si="37"/>
        <v>0.49</v>
      </c>
      <c r="AA222" s="5">
        <f t="shared" si="38"/>
        <v>0.64440000000000008</v>
      </c>
      <c r="AB222" s="8">
        <f t="shared" si="39"/>
        <v>0.31261068439834216</v>
      </c>
      <c r="AC222" s="7">
        <f t="shared" si="40"/>
        <v>0.48511900123889218</v>
      </c>
      <c r="AD222" s="5"/>
      <c r="AE222" s="5"/>
    </row>
    <row r="223" spans="1:31" ht="162" customHeight="1" x14ac:dyDescent="0.3">
      <c r="A223" s="26">
        <v>219</v>
      </c>
      <c r="B223" s="32">
        <f>'APÊNDICE II-MEMÓRIA DE CÁLCULO'!B224</f>
        <v>12489</v>
      </c>
      <c r="C223" s="33">
        <f>'APÊNDICE II-MEMÓRIA DE CÁLCULO'!C224</f>
        <v>454093</v>
      </c>
      <c r="D223" s="34" t="str">
        <f>'APÊNDICE II-MEMÓRIA DE CÁLCULO'!D224</f>
        <v>Seringa - capacidade: 20ML, medidas: com agulha, tipo uso: descartável, material: confeccionada em plástico transparente, características adicionais: de encaixe não rosqueado, atóxico, apirogênico, cilíndrico com escala de graduação visível, com anel de retenção, flange com formato adequado: êmbolo com pistão lubrificado, agulha deve estar inserida na embalagem da seringa, estéril, em embalagem individual de papel grau cirúrgico e/ou com filme termoplástico, com abertura em pétala, constando externamente dados de identificação e procedência, data e tipo da esterilização, prazo de validade e registro em órgão competente.</v>
      </c>
      <c r="E223" s="33" t="str">
        <f>'APÊNDICE II-MEMÓRIA DE CÁLCULO'!E224</f>
        <v>UNIDADE</v>
      </c>
      <c r="F223" s="35">
        <f>'APÊNDICE II-MEMÓRIA DE CÁLCULO'!L224</f>
        <v>18000</v>
      </c>
      <c r="G223" s="63" t="s">
        <v>809</v>
      </c>
      <c r="H223" s="64">
        <v>13</v>
      </c>
      <c r="I223" s="67">
        <v>0.44</v>
      </c>
      <c r="J223" s="73" t="s">
        <v>810</v>
      </c>
      <c r="K223" s="66">
        <v>4</v>
      </c>
      <c r="L223" s="67">
        <v>0.67</v>
      </c>
      <c r="M223" s="63" t="s">
        <v>469</v>
      </c>
      <c r="N223" s="66">
        <v>1</v>
      </c>
      <c r="O223" s="67">
        <v>0.42</v>
      </c>
      <c r="P223" s="68" t="s">
        <v>771</v>
      </c>
      <c r="Q223" s="66">
        <v>1</v>
      </c>
      <c r="R223" s="67">
        <v>0.79</v>
      </c>
      <c r="S223" s="68" t="s">
        <v>703</v>
      </c>
      <c r="T223" s="66">
        <v>1</v>
      </c>
      <c r="U223" s="67">
        <v>0.69</v>
      </c>
      <c r="V223" s="37">
        <f t="shared" si="34"/>
        <v>0.14634206503941388</v>
      </c>
      <c r="W223" s="58">
        <f t="shared" si="35"/>
        <v>0.24309313129470744</v>
      </c>
      <c r="X223" s="23">
        <f>ROUND(SUM(I223*H223,L223*K223,O223*N223,R223*Q223,U223*T223,)/SUM(H223,K223,N223,Q223,T223,),2)</f>
        <v>0.52</v>
      </c>
      <c r="Y223" s="38">
        <f t="shared" si="33"/>
        <v>9360</v>
      </c>
      <c r="Z223" s="6">
        <f t="shared" si="37"/>
        <v>0.55500000000000005</v>
      </c>
      <c r="AA223" s="5">
        <f t="shared" si="38"/>
        <v>0.60199999999999998</v>
      </c>
      <c r="AB223" s="8">
        <f t="shared" si="39"/>
        <v>0.14634206503941388</v>
      </c>
      <c r="AC223" s="7">
        <f t="shared" si="40"/>
        <v>0.24309313129470744</v>
      </c>
      <c r="AD223" s="5"/>
      <c r="AE223" s="5"/>
    </row>
    <row r="224" spans="1:31" ht="162" customHeight="1" x14ac:dyDescent="0.3">
      <c r="A224" s="26">
        <v>220</v>
      </c>
      <c r="B224" s="32">
        <f>'APÊNDICE II-MEMÓRIA DE CÁLCULO'!B225</f>
        <v>12490</v>
      </c>
      <c r="C224" s="33">
        <f>'APÊNDICE II-MEMÓRIA DE CÁLCULO'!C225</f>
        <v>436040</v>
      </c>
      <c r="D224" s="34" t="str">
        <f>'APÊNDICE II-MEMÓRIA DE CÁLCULO'!D225</f>
        <v xml:space="preserve">Sonda de trato urinário - modelo: Foley, tamanho: N°08,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
</v>
      </c>
      <c r="E224" s="33" t="str">
        <f>'APÊNDICE II-MEMÓRIA DE CÁLCULO'!E225</f>
        <v>UNIDADE</v>
      </c>
      <c r="F224" s="35">
        <f>'APÊNDICE II-MEMÓRIA DE CÁLCULO'!L225</f>
        <v>100</v>
      </c>
      <c r="G224" s="63" t="s">
        <v>809</v>
      </c>
      <c r="H224" s="64">
        <v>5</v>
      </c>
      <c r="I224" s="67">
        <v>2.77</v>
      </c>
      <c r="J224" s="73" t="s">
        <v>810</v>
      </c>
      <c r="K224" s="66">
        <v>5</v>
      </c>
      <c r="L224" s="67">
        <v>3.61</v>
      </c>
      <c r="M224" s="63" t="s">
        <v>470</v>
      </c>
      <c r="N224" s="66">
        <v>1</v>
      </c>
      <c r="O224" s="67">
        <v>3.6</v>
      </c>
      <c r="P224" s="68" t="s">
        <v>785</v>
      </c>
      <c r="Q224" s="66">
        <v>1</v>
      </c>
      <c r="R224" s="67">
        <v>4.0999999999999996</v>
      </c>
      <c r="S224" s="40" t="s">
        <v>31</v>
      </c>
      <c r="T224" s="55" t="s">
        <v>31</v>
      </c>
      <c r="U224" s="37" t="s">
        <v>31</v>
      </c>
      <c r="V224" s="37">
        <f t="shared" si="34"/>
        <v>0.47785981207881534</v>
      </c>
      <c r="W224" s="58">
        <f t="shared" si="35"/>
        <v>0.13575562843148165</v>
      </c>
      <c r="X224" s="23">
        <f>ROUND(SUM(I224*H224,L224*K224,O224*N224,R224*Q224,)/SUM(H224,K224,N224,Q224,),2)</f>
        <v>3.3</v>
      </c>
      <c r="Y224" s="38">
        <f t="shared" si="33"/>
        <v>330</v>
      </c>
      <c r="Z224" s="6">
        <f t="shared" si="37"/>
        <v>3.6</v>
      </c>
      <c r="AA224" s="5">
        <f t="shared" si="38"/>
        <v>3.5199999999999996</v>
      </c>
      <c r="AB224" s="8">
        <f t="shared" si="39"/>
        <v>0.47785981207881534</v>
      </c>
      <c r="AC224" s="7">
        <f t="shared" si="40"/>
        <v>0.13575562843148165</v>
      </c>
      <c r="AD224" s="5"/>
      <c r="AE224" s="5"/>
    </row>
    <row r="225" spans="1:31" ht="162" customHeight="1" x14ac:dyDescent="0.3">
      <c r="A225" s="26">
        <v>221</v>
      </c>
      <c r="B225" s="32">
        <f>'APÊNDICE II-MEMÓRIA DE CÁLCULO'!B226</f>
        <v>12491</v>
      </c>
      <c r="C225" s="33">
        <f>'APÊNDICE II-MEMÓRIA DE CÁLCULO'!C226</f>
        <v>436000</v>
      </c>
      <c r="D225" s="34" t="str">
        <f>'APÊNDICE II-MEMÓRIA DE CÁLCULO'!D226</f>
        <v>Sonda de trato urinário, modelo: Foley, tamanho: N°10,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5" s="33" t="str">
        <f>'APÊNDICE II-MEMÓRIA DE CÁLCULO'!E226</f>
        <v>UNIDADE</v>
      </c>
      <c r="F225" s="35">
        <f>'APÊNDICE II-MEMÓRIA DE CÁLCULO'!L226</f>
        <v>100</v>
      </c>
      <c r="G225" s="63" t="s">
        <v>809</v>
      </c>
      <c r="H225" s="64">
        <v>1</v>
      </c>
      <c r="I225" s="67">
        <v>2.83</v>
      </c>
      <c r="J225" s="73" t="s">
        <v>810</v>
      </c>
      <c r="K225" s="66">
        <v>2</v>
      </c>
      <c r="L225" s="67">
        <v>2.69</v>
      </c>
      <c r="M225" s="63" t="s">
        <v>471</v>
      </c>
      <c r="N225" s="66">
        <v>1</v>
      </c>
      <c r="O225" s="67">
        <v>3.6</v>
      </c>
      <c r="P225" s="68" t="s">
        <v>785</v>
      </c>
      <c r="Q225" s="66">
        <v>1</v>
      </c>
      <c r="R225" s="67">
        <v>4.0999999999999996</v>
      </c>
      <c r="S225" s="40" t="s">
        <v>31</v>
      </c>
      <c r="T225" s="55" t="s">
        <v>31</v>
      </c>
      <c r="U225" s="37" t="s">
        <v>31</v>
      </c>
      <c r="V225" s="37">
        <f t="shared" si="34"/>
        <v>0.57508694994757348</v>
      </c>
      <c r="W225" s="58">
        <f t="shared" si="35"/>
        <v>0.17400512857717806</v>
      </c>
      <c r="X225" s="23">
        <f>ROUND(SUM(I225*H225,L225*K225,O225*N225,R225*Q225,)/SUM(H225,K225,N225,Q225,),2)</f>
        <v>3.18</v>
      </c>
      <c r="Y225" s="38">
        <f t="shared" si="33"/>
        <v>318</v>
      </c>
      <c r="Z225" s="6">
        <f t="shared" si="37"/>
        <v>2.83</v>
      </c>
      <c r="AA225" s="5">
        <f t="shared" si="38"/>
        <v>3.3049999999999997</v>
      </c>
      <c r="AB225" s="8">
        <f t="shared" si="39"/>
        <v>0.57508694994757348</v>
      </c>
      <c r="AC225" s="7">
        <f t="shared" si="40"/>
        <v>0.17400512857717806</v>
      </c>
      <c r="AD225" s="5"/>
      <c r="AE225" s="5"/>
    </row>
    <row r="226" spans="1:31" ht="162" customHeight="1" x14ac:dyDescent="0.3">
      <c r="A226" s="26">
        <v>222</v>
      </c>
      <c r="B226" s="32">
        <f>'APÊNDICE II-MEMÓRIA DE CÁLCULO'!B227</f>
        <v>12494</v>
      </c>
      <c r="C226" s="33">
        <f>'APÊNDICE II-MEMÓRIA DE CÁLCULO'!C227</f>
        <v>436001</v>
      </c>
      <c r="D226" s="34" t="str">
        <f>'APÊNDICE II-MEMÓRIA DE CÁLCULO'!D227</f>
        <v>Sonda de trato urinário - modelo: Foley, tamanho: N°12,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6" s="33" t="str">
        <f>'APÊNDICE II-MEMÓRIA DE CÁLCULO'!E227</f>
        <v>UNIDADE</v>
      </c>
      <c r="F226" s="35">
        <f>'APÊNDICE II-MEMÓRIA DE CÁLCULO'!L227</f>
        <v>50</v>
      </c>
      <c r="G226" s="63" t="s">
        <v>809</v>
      </c>
      <c r="H226" s="64">
        <v>1</v>
      </c>
      <c r="I226" s="67">
        <v>3.03</v>
      </c>
      <c r="J226" s="73" t="s">
        <v>810</v>
      </c>
      <c r="K226" s="66">
        <v>6</v>
      </c>
      <c r="L226" s="67">
        <v>3.61</v>
      </c>
      <c r="M226" s="63" t="s">
        <v>603</v>
      </c>
      <c r="N226" s="66">
        <v>1</v>
      </c>
      <c r="O226" s="67">
        <v>2.04</v>
      </c>
      <c r="P226" s="68" t="s">
        <v>786</v>
      </c>
      <c r="Q226" s="66">
        <v>1</v>
      </c>
      <c r="R226" s="67">
        <v>3.15</v>
      </c>
      <c r="S226" s="68" t="s">
        <v>685</v>
      </c>
      <c r="T226" s="66">
        <v>1</v>
      </c>
      <c r="U226" s="67">
        <v>3.25</v>
      </c>
      <c r="V226" s="37">
        <f t="shared" si="34"/>
        <v>0.52503714154333925</v>
      </c>
      <c r="W226" s="58">
        <f t="shared" si="35"/>
        <v>0.17408393287245996</v>
      </c>
      <c r="X226" s="23">
        <f t="shared" ref="X226:X232" si="42">ROUND(SUM(I226*H226,L226*K226,O226*N226,R226*Q226,U226*T226,)/SUM(H226,K226,N226,Q226,T226,),2)</f>
        <v>3.31</v>
      </c>
      <c r="Y226" s="38">
        <f t="shared" si="33"/>
        <v>165.5</v>
      </c>
      <c r="Z226" s="6">
        <f t="shared" si="37"/>
        <v>3.09</v>
      </c>
      <c r="AA226" s="5">
        <f t="shared" si="38"/>
        <v>3.016</v>
      </c>
      <c r="AB226" s="8">
        <f t="shared" si="39"/>
        <v>0.52503714154333925</v>
      </c>
      <c r="AC226" s="7">
        <f t="shared" si="40"/>
        <v>0.17408393287245996</v>
      </c>
      <c r="AD226" s="5"/>
      <c r="AE226" s="5"/>
    </row>
    <row r="227" spans="1:31" ht="162" customHeight="1" x14ac:dyDescent="0.3">
      <c r="A227" s="26">
        <v>223</v>
      </c>
      <c r="B227" s="32">
        <f>'APÊNDICE II-MEMÓRIA DE CÁLCULO'!B228</f>
        <v>12492</v>
      </c>
      <c r="C227" s="33">
        <f>'APÊNDICE II-MEMÓRIA DE CÁLCULO'!C228</f>
        <v>436002</v>
      </c>
      <c r="D227" s="34" t="str">
        <f>'APÊNDICE II-MEMÓRIA DE CÁLCULO'!D228</f>
        <v>Sonda de trato urinário - modelo: Foley, tamanho: N°14,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7" s="33" t="str">
        <f>'APÊNDICE II-MEMÓRIA DE CÁLCULO'!E228</f>
        <v>UNIDADE</v>
      </c>
      <c r="F227" s="35">
        <f>'APÊNDICE II-MEMÓRIA DE CÁLCULO'!L228</f>
        <v>100</v>
      </c>
      <c r="G227" s="63" t="s">
        <v>809</v>
      </c>
      <c r="H227" s="64">
        <v>1</v>
      </c>
      <c r="I227" s="67">
        <v>2.1</v>
      </c>
      <c r="J227" s="73" t="s">
        <v>810</v>
      </c>
      <c r="K227" s="66">
        <v>4</v>
      </c>
      <c r="L227" s="67">
        <v>3.53</v>
      </c>
      <c r="M227" s="63" t="s">
        <v>472</v>
      </c>
      <c r="N227" s="66">
        <v>1</v>
      </c>
      <c r="O227" s="67">
        <v>2.2000000000000002</v>
      </c>
      <c r="P227" s="68" t="s">
        <v>396</v>
      </c>
      <c r="Q227" s="66">
        <v>1</v>
      </c>
      <c r="R227" s="67">
        <v>3.22</v>
      </c>
      <c r="S227" s="68" t="s">
        <v>770</v>
      </c>
      <c r="T227" s="66">
        <v>1</v>
      </c>
      <c r="U227" s="67">
        <v>3.7</v>
      </c>
      <c r="V227" s="37">
        <f t="shared" si="34"/>
        <v>0.6718333126602144</v>
      </c>
      <c r="W227" s="58">
        <f t="shared" si="35"/>
        <v>0.22774010598651334</v>
      </c>
      <c r="X227" s="23">
        <f t="shared" si="42"/>
        <v>3.17</v>
      </c>
      <c r="Y227" s="38">
        <f t="shared" si="33"/>
        <v>317</v>
      </c>
      <c r="Z227" s="6">
        <f t="shared" si="37"/>
        <v>2.71</v>
      </c>
      <c r="AA227" s="5">
        <f t="shared" si="38"/>
        <v>2.95</v>
      </c>
      <c r="AB227" s="8">
        <f t="shared" si="39"/>
        <v>0.6718333126602144</v>
      </c>
      <c r="AC227" s="7">
        <f t="shared" si="40"/>
        <v>0.22774010598651334</v>
      </c>
      <c r="AD227" s="5"/>
      <c r="AE227" s="5"/>
    </row>
    <row r="228" spans="1:31" ht="162" customHeight="1" x14ac:dyDescent="0.3">
      <c r="A228" s="26">
        <v>224</v>
      </c>
      <c r="B228" s="32">
        <f>'APÊNDICE II-MEMÓRIA DE CÁLCULO'!B229</f>
        <v>12493</v>
      </c>
      <c r="C228" s="33">
        <f>'APÊNDICE II-MEMÓRIA DE CÁLCULO'!C229</f>
        <v>436007</v>
      </c>
      <c r="D228" s="34" t="str">
        <f>'APÊNDICE II-MEMÓRIA DE CÁLCULO'!D229</f>
        <v>Sonda de trato urinário - modelo: Foley, tamanho: N°16,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8" s="33" t="str">
        <f>'APÊNDICE II-MEMÓRIA DE CÁLCULO'!E229</f>
        <v>UNIDADE</v>
      </c>
      <c r="F228" s="35">
        <f>'APÊNDICE II-MEMÓRIA DE CÁLCULO'!L229</f>
        <v>240</v>
      </c>
      <c r="G228" s="63" t="s">
        <v>809</v>
      </c>
      <c r="H228" s="64">
        <v>1</v>
      </c>
      <c r="I228" s="67">
        <v>2.36</v>
      </c>
      <c r="J228" s="73" t="s">
        <v>810</v>
      </c>
      <c r="K228" s="66">
        <v>1</v>
      </c>
      <c r="L228" s="67">
        <v>3.39</v>
      </c>
      <c r="M228" s="63" t="s">
        <v>473</v>
      </c>
      <c r="N228" s="66">
        <v>1</v>
      </c>
      <c r="O228" s="67">
        <v>2.2999999999999998</v>
      </c>
      <c r="P228" s="68" t="s">
        <v>811</v>
      </c>
      <c r="Q228" s="66">
        <v>1</v>
      </c>
      <c r="R228" s="67">
        <v>3.39</v>
      </c>
      <c r="S228" s="68" t="s">
        <v>788</v>
      </c>
      <c r="T228" s="66">
        <v>1</v>
      </c>
      <c r="U228" s="67">
        <v>3.15</v>
      </c>
      <c r="V228" s="37">
        <f t="shared" si="34"/>
        <v>0.48840147419924729</v>
      </c>
      <c r="W228" s="58">
        <f t="shared" si="35"/>
        <v>0.16737541953366938</v>
      </c>
      <c r="X228" s="23">
        <f t="shared" si="42"/>
        <v>2.92</v>
      </c>
      <c r="Y228" s="38">
        <f t="shared" si="33"/>
        <v>700.8</v>
      </c>
      <c r="Z228" s="6">
        <f t="shared" si="37"/>
        <v>2.7549999999999999</v>
      </c>
      <c r="AA228" s="5">
        <f t="shared" si="38"/>
        <v>2.9180000000000001</v>
      </c>
      <c r="AB228" s="8">
        <f t="shared" si="39"/>
        <v>0.48840147419924729</v>
      </c>
      <c r="AC228" s="7">
        <f t="shared" si="40"/>
        <v>0.16737541953366938</v>
      </c>
      <c r="AD228" s="5"/>
      <c r="AE228" s="5"/>
    </row>
    <row r="229" spans="1:31" ht="162" customHeight="1" x14ac:dyDescent="0.3">
      <c r="A229" s="26">
        <v>225</v>
      </c>
      <c r="B229" s="32">
        <f>'APÊNDICE II-MEMÓRIA DE CÁLCULO'!B230</f>
        <v>12495</v>
      </c>
      <c r="C229" s="33">
        <f>'APÊNDICE II-MEMÓRIA DE CÁLCULO'!C230</f>
        <v>436003</v>
      </c>
      <c r="D229" s="34" t="str">
        <f>'APÊNDICE II-MEMÓRIA DE CÁLCULO'!D230</f>
        <v>Sonda de trato urinário - modelo: Foley, tamanho: N°18,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29" s="33" t="str">
        <f>'APÊNDICE II-MEMÓRIA DE CÁLCULO'!E230</f>
        <v>UNIDADE</v>
      </c>
      <c r="F229" s="35">
        <f>'APÊNDICE II-MEMÓRIA DE CÁLCULO'!L230</f>
        <v>150</v>
      </c>
      <c r="G229" s="63" t="s">
        <v>809</v>
      </c>
      <c r="H229" s="64">
        <v>2</v>
      </c>
      <c r="I229" s="67">
        <v>4.46</v>
      </c>
      <c r="J229" s="73" t="s">
        <v>810</v>
      </c>
      <c r="K229" s="66">
        <v>7</v>
      </c>
      <c r="L229" s="67">
        <v>3.25</v>
      </c>
      <c r="M229" s="63" t="s">
        <v>474</v>
      </c>
      <c r="N229" s="66">
        <v>1</v>
      </c>
      <c r="O229" s="67">
        <v>2.4</v>
      </c>
      <c r="P229" s="68" t="s">
        <v>789</v>
      </c>
      <c r="Q229" s="66">
        <v>1</v>
      </c>
      <c r="R229" s="67">
        <v>3.47</v>
      </c>
      <c r="S229" s="68" t="s">
        <v>829</v>
      </c>
      <c r="T229" s="66">
        <v>1</v>
      </c>
      <c r="U229" s="67">
        <v>4.9000000000000004</v>
      </c>
      <c r="V229" s="37">
        <f t="shared" si="34"/>
        <v>0.89027186858846752</v>
      </c>
      <c r="W229" s="58">
        <f t="shared" si="35"/>
        <v>0.24087442331939055</v>
      </c>
      <c r="X229" s="23">
        <f t="shared" si="42"/>
        <v>3.54</v>
      </c>
      <c r="Y229" s="38">
        <f t="shared" si="33"/>
        <v>531</v>
      </c>
      <c r="Z229" s="6">
        <f t="shared" si="37"/>
        <v>3.3600000000000003</v>
      </c>
      <c r="AA229" s="5">
        <f t="shared" si="38"/>
        <v>3.6960000000000002</v>
      </c>
      <c r="AB229" s="8">
        <f t="shared" si="39"/>
        <v>0.89027186858846752</v>
      </c>
      <c r="AC229" s="7">
        <f t="shared" si="40"/>
        <v>0.24087442331939055</v>
      </c>
      <c r="AD229" s="5"/>
      <c r="AE229" s="5"/>
    </row>
    <row r="230" spans="1:31" ht="162" customHeight="1" x14ac:dyDescent="0.3">
      <c r="A230" s="26">
        <v>226</v>
      </c>
      <c r="B230" s="32">
        <f>'APÊNDICE II-MEMÓRIA DE CÁLCULO'!B231</f>
        <v>12496</v>
      </c>
      <c r="C230" s="33">
        <f>'APÊNDICE II-MEMÓRIA DE CÁLCULO'!C231</f>
        <v>436010</v>
      </c>
      <c r="D230" s="34" t="str">
        <f>'APÊNDICE II-MEMÓRIA DE CÁLCULO'!D231</f>
        <v>Sonda de trato urinário - modelo: Foley, tamanho: N°20,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0" s="33" t="str">
        <f>'APÊNDICE II-MEMÓRIA DE CÁLCULO'!E231</f>
        <v>UNIDADE</v>
      </c>
      <c r="F230" s="35">
        <f>'APÊNDICE II-MEMÓRIA DE CÁLCULO'!L231</f>
        <v>130</v>
      </c>
      <c r="G230" s="63" t="s">
        <v>809</v>
      </c>
      <c r="H230" s="64">
        <v>1</v>
      </c>
      <c r="I230" s="67">
        <v>2.88</v>
      </c>
      <c r="J230" s="73" t="s">
        <v>810</v>
      </c>
      <c r="K230" s="66">
        <v>2</v>
      </c>
      <c r="L230" s="67">
        <v>4.34</v>
      </c>
      <c r="M230" s="63" t="s">
        <v>604</v>
      </c>
      <c r="N230" s="66">
        <v>1</v>
      </c>
      <c r="O230" s="67">
        <v>2.2400000000000002</v>
      </c>
      <c r="P230" s="68" t="s">
        <v>789</v>
      </c>
      <c r="Q230" s="66">
        <v>1</v>
      </c>
      <c r="R230" s="67">
        <v>3.47</v>
      </c>
      <c r="S230" s="68" t="s">
        <v>685</v>
      </c>
      <c r="T230" s="66">
        <v>1</v>
      </c>
      <c r="U230" s="67">
        <v>3.73</v>
      </c>
      <c r="V230" s="37">
        <f t="shared" si="34"/>
        <v>0.71976107146746915</v>
      </c>
      <c r="W230" s="58">
        <f t="shared" si="35"/>
        <v>0.21601472733117322</v>
      </c>
      <c r="X230" s="23">
        <f t="shared" si="42"/>
        <v>3.5</v>
      </c>
      <c r="Y230" s="38">
        <f t="shared" si="33"/>
        <v>455</v>
      </c>
      <c r="Z230" s="6">
        <f t="shared" si="37"/>
        <v>3.1749999999999998</v>
      </c>
      <c r="AA230" s="5">
        <f t="shared" si="38"/>
        <v>3.3319999999999999</v>
      </c>
      <c r="AB230" s="8">
        <f t="shared" si="39"/>
        <v>0.71976107146746915</v>
      </c>
      <c r="AC230" s="7">
        <f t="shared" si="40"/>
        <v>0.21601472733117322</v>
      </c>
      <c r="AD230" s="5"/>
      <c r="AE230" s="5"/>
    </row>
    <row r="231" spans="1:31" ht="162" customHeight="1" x14ac:dyDescent="0.3">
      <c r="A231" s="26">
        <v>227</v>
      </c>
      <c r="B231" s="32">
        <f>'APÊNDICE II-MEMÓRIA DE CÁLCULO'!B232</f>
        <v>12497</v>
      </c>
      <c r="C231" s="33">
        <f>'APÊNDICE II-MEMÓRIA DE CÁLCULO'!C232</f>
        <v>436004</v>
      </c>
      <c r="D231" s="34" t="str">
        <f>'APÊNDICE II-MEMÓRIA DE CÁLCULO'!D232</f>
        <v>Sonda de trato urinário - modelo: Foley, tamanho: N°22,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1" s="33" t="str">
        <f>'APÊNDICE II-MEMÓRIA DE CÁLCULO'!E232</f>
        <v>UNIDADE</v>
      </c>
      <c r="F231" s="35">
        <f>'APÊNDICE II-MEMÓRIA DE CÁLCULO'!L232</f>
        <v>100</v>
      </c>
      <c r="G231" s="63" t="s">
        <v>809</v>
      </c>
      <c r="H231" s="64">
        <v>4</v>
      </c>
      <c r="I231" s="67">
        <v>2.7</v>
      </c>
      <c r="J231" s="73" t="s">
        <v>810</v>
      </c>
      <c r="K231" s="66">
        <v>4</v>
      </c>
      <c r="L231" s="67">
        <v>3.12</v>
      </c>
      <c r="M231" s="63" t="s">
        <v>605</v>
      </c>
      <c r="N231" s="66">
        <v>1</v>
      </c>
      <c r="O231" s="67">
        <v>2.19</v>
      </c>
      <c r="P231" s="68" t="s">
        <v>685</v>
      </c>
      <c r="Q231" s="66">
        <v>1</v>
      </c>
      <c r="R231" s="67">
        <v>3.53</v>
      </c>
      <c r="S231" s="68" t="s">
        <v>785</v>
      </c>
      <c r="T231" s="66">
        <v>1</v>
      </c>
      <c r="U231" s="67">
        <v>4.0999999999999996</v>
      </c>
      <c r="V231" s="37">
        <f t="shared" si="34"/>
        <v>0.65870782597445932</v>
      </c>
      <c r="W231" s="58">
        <f t="shared" si="35"/>
        <v>0.21058434334221846</v>
      </c>
      <c r="X231" s="23">
        <f t="shared" si="42"/>
        <v>3.01</v>
      </c>
      <c r="Y231" s="38">
        <f t="shared" si="33"/>
        <v>301</v>
      </c>
      <c r="Z231" s="6">
        <f t="shared" si="37"/>
        <v>2.91</v>
      </c>
      <c r="AA231" s="5">
        <f t="shared" si="38"/>
        <v>3.1280000000000001</v>
      </c>
      <c r="AB231" s="8">
        <f t="shared" si="39"/>
        <v>0.65870782597445932</v>
      </c>
      <c r="AC231" s="7">
        <f t="shared" si="40"/>
        <v>0.21058434334221846</v>
      </c>
      <c r="AD231" s="5"/>
      <c r="AE231" s="5"/>
    </row>
    <row r="232" spans="1:31" ht="162" customHeight="1" x14ac:dyDescent="0.3">
      <c r="A232" s="26">
        <v>228</v>
      </c>
      <c r="B232" s="32">
        <f>'APÊNDICE II-MEMÓRIA DE CÁLCULO'!B233</f>
        <v>12498</v>
      </c>
      <c r="C232" s="33">
        <f>'APÊNDICE II-MEMÓRIA DE CÁLCULO'!C233</f>
        <v>436006</v>
      </c>
      <c r="D232" s="34" t="str">
        <f>'APÊNDICE II-MEMÓRIA DE CÁLCULO'!D233</f>
        <v>Sonda de trato urinário - modelo: Foley, tamanho: N°24, 02 vias, com balão 30cc, material: borracha natural, de formato adequado, siliconada, características adicionais: com anti-incrustante, ponta proximal arredondada, com dois orifícios grandes, arredondados e lisos, o número da sonda e a capacidade do balão deverão estar estampados em local visível e permanente, estéril. Embalagem individual de papel grau cirúrgico e/ou filme termoplástico, contendo dados de identificação e procedência, data e tipo de esterilização, prazo de validade e registro em órgão competente.</v>
      </c>
      <c r="E232" s="33" t="str">
        <f>'APÊNDICE II-MEMÓRIA DE CÁLCULO'!E233</f>
        <v>UNIDADE</v>
      </c>
      <c r="F232" s="35">
        <f>'APÊNDICE II-MEMÓRIA DE CÁLCULO'!L233</f>
        <v>100</v>
      </c>
      <c r="G232" s="63" t="s">
        <v>809</v>
      </c>
      <c r="H232" s="64">
        <v>1</v>
      </c>
      <c r="I232" s="67">
        <v>3.11</v>
      </c>
      <c r="J232" s="73" t="s">
        <v>810</v>
      </c>
      <c r="K232" s="66">
        <v>1</v>
      </c>
      <c r="L232" s="67">
        <v>4.5999999999999996</v>
      </c>
      <c r="M232" s="63" t="s">
        <v>475</v>
      </c>
      <c r="N232" s="66">
        <v>1</v>
      </c>
      <c r="O232" s="67">
        <v>2.25</v>
      </c>
      <c r="P232" s="68" t="s">
        <v>830</v>
      </c>
      <c r="Q232" s="66">
        <v>1</v>
      </c>
      <c r="R232" s="67">
        <v>3.15</v>
      </c>
      <c r="S232" s="68" t="s">
        <v>838</v>
      </c>
      <c r="T232" s="66">
        <v>1</v>
      </c>
      <c r="U232" s="67">
        <v>4.5</v>
      </c>
      <c r="V232" s="37">
        <f t="shared" si="34"/>
        <v>0.89940869464331885</v>
      </c>
      <c r="W232" s="58">
        <f t="shared" si="35"/>
        <v>0.25536873783172032</v>
      </c>
      <c r="X232" s="23">
        <f t="shared" si="42"/>
        <v>3.52</v>
      </c>
      <c r="Y232" s="38">
        <f t="shared" si="33"/>
        <v>352</v>
      </c>
      <c r="Z232" s="6">
        <f t="shared" si="37"/>
        <v>3.13</v>
      </c>
      <c r="AA232" s="5">
        <f t="shared" si="38"/>
        <v>3.5219999999999998</v>
      </c>
      <c r="AB232" s="8">
        <f t="shared" si="39"/>
        <v>0.89940869464331885</v>
      </c>
      <c r="AC232" s="7">
        <f t="shared" si="40"/>
        <v>0.25536873783172032</v>
      </c>
      <c r="AD232" s="5"/>
      <c r="AE232" s="5"/>
    </row>
    <row r="233" spans="1:31" ht="111" customHeight="1" x14ac:dyDescent="0.3">
      <c r="A233" s="26">
        <v>229</v>
      </c>
      <c r="B233" s="32">
        <f>'APÊNDICE II-MEMÓRIA DE CÁLCULO'!B234</f>
        <v>12499</v>
      </c>
      <c r="C233" s="33">
        <f>'APÊNDICE II-MEMÓRIA DE CÁLCULO'!C234</f>
        <v>452538</v>
      </c>
      <c r="D233" s="34" t="str">
        <f>'APÊNDICE II-MEMÓRIA DE CÁLCULO'!D234</f>
        <v>Sonda de trato urinário - modelo: uretral, tamanho: Nº 04,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3" s="33" t="str">
        <f>'APÊNDICE II-MEMÓRIA DE CÁLCULO'!E234</f>
        <v>UNIDADE</v>
      </c>
      <c r="F233" s="35">
        <f>'APÊNDICE II-MEMÓRIA DE CÁLCULO'!L234</f>
        <v>200</v>
      </c>
      <c r="G233" s="63" t="s">
        <v>809</v>
      </c>
      <c r="H233" s="64">
        <v>1</v>
      </c>
      <c r="I233" s="67">
        <v>0.55000000000000004</v>
      </c>
      <c r="J233" s="73" t="s">
        <v>810</v>
      </c>
      <c r="K233" s="66">
        <v>4</v>
      </c>
      <c r="L233" s="67">
        <v>0.56999999999999995</v>
      </c>
      <c r="M233" s="63" t="s">
        <v>915</v>
      </c>
      <c r="N233" s="66">
        <v>1</v>
      </c>
      <c r="O233" s="67">
        <v>0.59</v>
      </c>
      <c r="P233" s="68" t="s">
        <v>406</v>
      </c>
      <c r="Q233" s="66">
        <v>1</v>
      </c>
      <c r="R233" s="67">
        <v>0.86</v>
      </c>
      <c r="S233" s="40" t="s">
        <v>31</v>
      </c>
      <c r="T233" s="55" t="s">
        <v>31</v>
      </c>
      <c r="U233" s="37" t="s">
        <v>31</v>
      </c>
      <c r="V233" s="37">
        <f t="shared" si="34"/>
        <v>0.12636751956100145</v>
      </c>
      <c r="W233" s="58">
        <f t="shared" si="35"/>
        <v>0.19668096429727855</v>
      </c>
      <c r="X233" s="23">
        <f>ROUND(SUM(I233*H233,L233*K233,O233*N233,R233*Q233,)/SUM(H233,K233,N233,Q233,),2)</f>
        <v>0.61</v>
      </c>
      <c r="Y233" s="38">
        <f t="shared" si="33"/>
        <v>122</v>
      </c>
      <c r="Z233" s="6">
        <f t="shared" si="37"/>
        <v>0.56999999999999995</v>
      </c>
      <c r="AA233" s="5">
        <f t="shared" si="38"/>
        <v>0.64249999999999996</v>
      </c>
      <c r="AB233" s="8">
        <f t="shared" si="39"/>
        <v>0.12636751956100145</v>
      </c>
      <c r="AC233" s="7">
        <f t="shared" si="40"/>
        <v>0.19668096429727855</v>
      </c>
      <c r="AD233" s="5"/>
      <c r="AE233" s="5"/>
    </row>
    <row r="234" spans="1:31" ht="111" customHeight="1" x14ac:dyDescent="0.3">
      <c r="A234" s="26">
        <v>230</v>
      </c>
      <c r="B234" s="32">
        <f>'APÊNDICE II-MEMÓRIA DE CÁLCULO'!B235</f>
        <v>12500</v>
      </c>
      <c r="C234" s="33">
        <f>'APÊNDICE II-MEMÓRIA DE CÁLCULO'!C235</f>
        <v>435978</v>
      </c>
      <c r="D234" s="34" t="str">
        <f>'APÊNDICE II-MEMÓRIA DE CÁLCULO'!D235</f>
        <v>Sonda de trato urinário - modelo: uretral, tamanho: Nº 06,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4" s="33" t="str">
        <f>'APÊNDICE II-MEMÓRIA DE CÁLCULO'!E235</f>
        <v>UNIDADE</v>
      </c>
      <c r="F234" s="35">
        <f>'APÊNDICE II-MEMÓRIA DE CÁLCULO'!L235</f>
        <v>500</v>
      </c>
      <c r="G234" s="63" t="s">
        <v>809</v>
      </c>
      <c r="H234" s="64">
        <v>1</v>
      </c>
      <c r="I234" s="67">
        <v>0.61</v>
      </c>
      <c r="J234" s="73" t="s">
        <v>810</v>
      </c>
      <c r="K234" s="66">
        <v>1</v>
      </c>
      <c r="L234" s="67">
        <v>0.7</v>
      </c>
      <c r="M234" s="63" t="s">
        <v>606</v>
      </c>
      <c r="N234" s="66">
        <v>1</v>
      </c>
      <c r="O234" s="67">
        <v>0.61</v>
      </c>
      <c r="P234" s="68" t="s">
        <v>406</v>
      </c>
      <c r="Q234" s="66">
        <v>1</v>
      </c>
      <c r="R234" s="67">
        <v>1</v>
      </c>
      <c r="S234" s="68" t="s">
        <v>831</v>
      </c>
      <c r="T234" s="66">
        <v>1</v>
      </c>
      <c r="U234" s="67">
        <v>0.99</v>
      </c>
      <c r="V234" s="37">
        <f t="shared" si="34"/>
        <v>0.17701977290687032</v>
      </c>
      <c r="W234" s="58">
        <f t="shared" si="35"/>
        <v>0.22636799604459121</v>
      </c>
      <c r="X234" s="23">
        <f>ROUND(SUM(I234*H234,L234*K234,O234*N234,R234*Q234,U234*T234,)/SUM(H234,K234,N234,Q234,T234,),2)</f>
        <v>0.78</v>
      </c>
      <c r="Y234" s="38">
        <f t="shared" si="33"/>
        <v>390</v>
      </c>
      <c r="Z234" s="6">
        <f t="shared" si="37"/>
        <v>0.65500000000000003</v>
      </c>
      <c r="AA234" s="5">
        <f t="shared" si="38"/>
        <v>0.78200000000000003</v>
      </c>
      <c r="AB234" s="8">
        <f t="shared" si="39"/>
        <v>0.17701977290687032</v>
      </c>
      <c r="AC234" s="7">
        <f t="shared" si="40"/>
        <v>0.22636799604459121</v>
      </c>
      <c r="AD234" s="5"/>
      <c r="AE234" s="5"/>
    </row>
    <row r="235" spans="1:31" ht="111" customHeight="1" x14ac:dyDescent="0.3">
      <c r="A235" s="26">
        <v>231</v>
      </c>
      <c r="B235" s="32">
        <f>'APÊNDICE II-MEMÓRIA DE CÁLCULO'!B236</f>
        <v>12501</v>
      </c>
      <c r="C235" s="33">
        <f>'APÊNDICE II-MEMÓRIA DE CÁLCULO'!C236</f>
        <v>435979</v>
      </c>
      <c r="D235" s="34" t="str">
        <f>'APÊNDICE II-MEMÓRIA DE CÁLCULO'!D236</f>
        <v>Sonda de trato urinário - modelo: uretral, tamanho: Nº 08,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5" s="33" t="str">
        <f>'APÊNDICE II-MEMÓRIA DE CÁLCULO'!E236</f>
        <v>UNIDADE</v>
      </c>
      <c r="F235" s="35">
        <f>'APÊNDICE II-MEMÓRIA DE CÁLCULO'!L236</f>
        <v>2500</v>
      </c>
      <c r="G235" s="63" t="s">
        <v>809</v>
      </c>
      <c r="H235" s="64">
        <v>1</v>
      </c>
      <c r="I235" s="67">
        <v>0.56999999999999995</v>
      </c>
      <c r="J235" s="73" t="s">
        <v>810</v>
      </c>
      <c r="K235" s="66">
        <v>1</v>
      </c>
      <c r="L235" s="67">
        <v>0.75</v>
      </c>
      <c r="M235" s="63" t="s">
        <v>607</v>
      </c>
      <c r="N235" s="66">
        <v>1</v>
      </c>
      <c r="O235" s="67">
        <v>0.56999999999999995</v>
      </c>
      <c r="P235" s="68" t="s">
        <v>356</v>
      </c>
      <c r="Q235" s="66">
        <v>1</v>
      </c>
      <c r="R235" s="67">
        <v>0.94</v>
      </c>
      <c r="S235" s="68" t="s">
        <v>771</v>
      </c>
      <c r="T235" s="66">
        <v>1</v>
      </c>
      <c r="U235" s="67">
        <v>0.99</v>
      </c>
      <c r="V235" s="37">
        <f t="shared" si="34"/>
        <v>0.17749366185867005</v>
      </c>
      <c r="W235" s="58">
        <f t="shared" si="35"/>
        <v>0.232321546935432</v>
      </c>
      <c r="X235" s="23">
        <f>ROUND(SUM(I235*H235,L235*K235,O235*N235,R235*Q235,U235*T235,)/SUM(H235,K235,N235,Q235,T235,),2)</f>
        <v>0.76</v>
      </c>
      <c r="Y235" s="38">
        <f t="shared" si="33"/>
        <v>1900</v>
      </c>
      <c r="Z235" s="6">
        <f t="shared" si="37"/>
        <v>0.65999999999999992</v>
      </c>
      <c r="AA235" s="5">
        <f t="shared" si="38"/>
        <v>0.76400000000000001</v>
      </c>
      <c r="AB235" s="8">
        <f t="shared" si="39"/>
        <v>0.17749366185867005</v>
      </c>
      <c r="AC235" s="7">
        <f t="shared" si="40"/>
        <v>0.232321546935432</v>
      </c>
      <c r="AD235" s="5"/>
      <c r="AE235" s="5"/>
    </row>
    <row r="236" spans="1:31" ht="111" customHeight="1" x14ac:dyDescent="0.3">
      <c r="A236" s="26">
        <v>232</v>
      </c>
      <c r="B236" s="32">
        <f>'APÊNDICE II-MEMÓRIA DE CÁLCULO'!B237</f>
        <v>12502</v>
      </c>
      <c r="C236" s="33">
        <f>'APÊNDICE II-MEMÓRIA DE CÁLCULO'!C237</f>
        <v>435980</v>
      </c>
      <c r="D236" s="34" t="str">
        <f>'APÊNDICE II-MEMÓRIA DE CÁLCULO'!D237</f>
        <v>Sonda de trato urinário - modelo: uretral, tamanho: Nº 10,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6" s="33" t="str">
        <f>'APÊNDICE II-MEMÓRIA DE CÁLCULO'!E237</f>
        <v>UNIDADE</v>
      </c>
      <c r="F236" s="35">
        <f>'APÊNDICE II-MEMÓRIA DE CÁLCULO'!L237</f>
        <v>4080</v>
      </c>
      <c r="G236" s="63" t="s">
        <v>809</v>
      </c>
      <c r="H236" s="64">
        <v>1</v>
      </c>
      <c r="I236" s="67">
        <v>0.55000000000000004</v>
      </c>
      <c r="J236" s="73" t="s">
        <v>810</v>
      </c>
      <c r="K236" s="66">
        <v>1</v>
      </c>
      <c r="L236" s="67">
        <v>0.88</v>
      </c>
      <c r="M236" s="63" t="s">
        <v>608</v>
      </c>
      <c r="N236" s="66">
        <v>1</v>
      </c>
      <c r="O236" s="67">
        <v>0.57999999999999996</v>
      </c>
      <c r="P236" s="68" t="s">
        <v>347</v>
      </c>
      <c r="Q236" s="66">
        <v>1</v>
      </c>
      <c r="R236" s="67">
        <v>0.83</v>
      </c>
      <c r="S236" s="68" t="s">
        <v>787</v>
      </c>
      <c r="T236" s="66">
        <v>1</v>
      </c>
      <c r="U236" s="67">
        <v>0.99</v>
      </c>
      <c r="V236" s="37">
        <f t="shared" si="34"/>
        <v>0.17234848418248414</v>
      </c>
      <c r="W236" s="58">
        <f t="shared" si="35"/>
        <v>0.2249980211259584</v>
      </c>
      <c r="X236" s="23">
        <f>ROUND(SUM(I236*H236,L236*K236,O236*N236,R236*Q236,U236*T236,)/SUM(H236,K236,N236,Q236,T236,),2)</f>
        <v>0.77</v>
      </c>
      <c r="Y236" s="38">
        <f t="shared" si="33"/>
        <v>3141.6</v>
      </c>
      <c r="Z236" s="6">
        <f t="shared" si="37"/>
        <v>0.70499999999999996</v>
      </c>
      <c r="AA236" s="5">
        <f t="shared" si="38"/>
        <v>0.76600000000000001</v>
      </c>
      <c r="AB236" s="8">
        <f t="shared" si="39"/>
        <v>0.17234848418248414</v>
      </c>
      <c r="AC236" s="7">
        <f t="shared" si="40"/>
        <v>0.2249980211259584</v>
      </c>
      <c r="AD236" s="5"/>
      <c r="AE236" s="5"/>
    </row>
    <row r="237" spans="1:31" ht="111" customHeight="1" x14ac:dyDescent="0.3">
      <c r="A237" s="26">
        <v>233</v>
      </c>
      <c r="B237" s="32">
        <f>'APÊNDICE II-MEMÓRIA DE CÁLCULO'!B238</f>
        <v>12503</v>
      </c>
      <c r="C237" s="33">
        <f>'APÊNDICE II-MEMÓRIA DE CÁLCULO'!C238</f>
        <v>435981</v>
      </c>
      <c r="D237" s="34" t="str">
        <f>'APÊNDICE II-MEMÓRIA DE CÁLCULO'!D238</f>
        <v>Sonda de trato urinário - modelo: uretral, tamanho: Nº 12,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7" s="33" t="str">
        <f>'APÊNDICE II-MEMÓRIA DE CÁLCULO'!E238</f>
        <v>UNIDADE</v>
      </c>
      <c r="F237" s="35">
        <f>'APÊNDICE II-MEMÓRIA DE CÁLCULO'!L238</f>
        <v>3920</v>
      </c>
      <c r="G237" s="63" t="s">
        <v>809</v>
      </c>
      <c r="H237" s="64">
        <v>1</v>
      </c>
      <c r="I237" s="67">
        <v>1.04</v>
      </c>
      <c r="J237" s="73" t="s">
        <v>810</v>
      </c>
      <c r="K237" s="66">
        <v>1</v>
      </c>
      <c r="L237" s="67">
        <v>1</v>
      </c>
      <c r="M237" s="63" t="s">
        <v>609</v>
      </c>
      <c r="N237" s="66">
        <v>1</v>
      </c>
      <c r="O237" s="67">
        <v>0.59</v>
      </c>
      <c r="P237" s="68" t="s">
        <v>790</v>
      </c>
      <c r="Q237" s="66">
        <v>1</v>
      </c>
      <c r="R237" s="67">
        <v>1.3</v>
      </c>
      <c r="S237" s="68" t="s">
        <v>762</v>
      </c>
      <c r="T237" s="66">
        <v>1</v>
      </c>
      <c r="U237" s="67">
        <v>1</v>
      </c>
      <c r="V237" s="37">
        <f t="shared" si="34"/>
        <v>0.22747307532980732</v>
      </c>
      <c r="W237" s="58">
        <f t="shared" si="35"/>
        <v>0.2307029161559912</v>
      </c>
      <c r="X237" s="23">
        <f>ROUND(SUM(I237*H237,L237*K237,O237*N237,R237*Q237,U237*T237,)/SUM(H237,K237,N237,Q237,T237,),2)</f>
        <v>0.99</v>
      </c>
      <c r="Y237" s="38">
        <f t="shared" si="33"/>
        <v>3880.8</v>
      </c>
      <c r="Z237" s="6">
        <f t="shared" si="37"/>
        <v>1</v>
      </c>
      <c r="AA237" s="5">
        <f t="shared" si="38"/>
        <v>0.98599999999999999</v>
      </c>
      <c r="AB237" s="8">
        <f t="shared" si="39"/>
        <v>0.22747307532980732</v>
      </c>
      <c r="AC237" s="7">
        <f t="shared" si="40"/>
        <v>0.2307029161559912</v>
      </c>
      <c r="AD237" s="5"/>
      <c r="AE237" s="5"/>
    </row>
    <row r="238" spans="1:31" ht="111" customHeight="1" x14ac:dyDescent="0.3">
      <c r="A238" s="26">
        <v>234</v>
      </c>
      <c r="B238" s="32">
        <f>'APÊNDICE II-MEMÓRIA DE CÁLCULO'!B239</f>
        <v>12504</v>
      </c>
      <c r="C238" s="33">
        <f>'APÊNDICE II-MEMÓRIA DE CÁLCULO'!C239</f>
        <v>435977</v>
      </c>
      <c r="D238" s="34" t="str">
        <f>'APÊNDICE II-MEMÓRIA DE CÁLCULO'!D239</f>
        <v>Sonda de trato urinário - modelo: uretral, tamanho: Nº 14,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8" s="33" t="str">
        <f>'APÊNDICE II-MEMÓRIA DE CÁLCULO'!E239</f>
        <v>UNIDADE</v>
      </c>
      <c r="F238" s="35">
        <f>'APÊNDICE II-MEMÓRIA DE CÁLCULO'!L239</f>
        <v>500</v>
      </c>
      <c r="G238" s="63" t="s">
        <v>809</v>
      </c>
      <c r="H238" s="64">
        <v>2</v>
      </c>
      <c r="I238" s="67">
        <v>1.22</v>
      </c>
      <c r="J238" s="73" t="s">
        <v>810</v>
      </c>
      <c r="K238" s="66">
        <v>1</v>
      </c>
      <c r="L238" s="67">
        <v>1.33</v>
      </c>
      <c r="M238" s="63" t="s">
        <v>476</v>
      </c>
      <c r="N238" s="66">
        <v>1</v>
      </c>
      <c r="O238" s="67">
        <v>0.68</v>
      </c>
      <c r="P238" s="68" t="s">
        <v>790</v>
      </c>
      <c r="Q238" s="66">
        <v>1</v>
      </c>
      <c r="R238" s="67">
        <v>1.3</v>
      </c>
      <c r="S238" s="68" t="s">
        <v>762</v>
      </c>
      <c r="T238" s="66">
        <v>1</v>
      </c>
      <c r="U238" s="67">
        <v>1.2</v>
      </c>
      <c r="V238" s="37">
        <f t="shared" si="34"/>
        <v>0.23795797948377337</v>
      </c>
      <c r="W238" s="58">
        <f t="shared" si="35"/>
        <v>0.207642215954427</v>
      </c>
      <c r="X238" s="23">
        <f>ROUND(SUM(I238*H238,L238*K238,O238*N238,R238*Q238,U238*T238,)/SUM(H238,K238,N238,Q238,T238,),2)</f>
        <v>1.1599999999999999</v>
      </c>
      <c r="Y238" s="38">
        <f t="shared" si="33"/>
        <v>580</v>
      </c>
      <c r="Z238" s="6">
        <f t="shared" si="37"/>
        <v>1.21</v>
      </c>
      <c r="AA238" s="5">
        <f t="shared" si="38"/>
        <v>1.1460000000000001</v>
      </c>
      <c r="AB238" s="8">
        <f t="shared" si="39"/>
        <v>0.23795797948377337</v>
      </c>
      <c r="AC238" s="7">
        <f t="shared" si="40"/>
        <v>0.207642215954427</v>
      </c>
      <c r="AD238" s="5"/>
      <c r="AE238" s="5"/>
    </row>
    <row r="239" spans="1:31" ht="111" customHeight="1" x14ac:dyDescent="0.3">
      <c r="A239" s="26">
        <v>235</v>
      </c>
      <c r="B239" s="32">
        <f>'APÊNDICE II-MEMÓRIA DE CÁLCULO'!B240</f>
        <v>12505</v>
      </c>
      <c r="C239" s="33">
        <f>'APÊNDICE II-MEMÓRIA DE CÁLCULO'!C240</f>
        <v>437441</v>
      </c>
      <c r="D239" s="34" t="str">
        <f>'APÊNDICE II-MEMÓRIA DE CÁLCULO'!D240</f>
        <v>Sonda de trato urinário - modelo: uretral, tamanho: Nº 16,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39" s="33" t="str">
        <f>'APÊNDICE II-MEMÓRIA DE CÁLCULO'!E240</f>
        <v>UNIDADE</v>
      </c>
      <c r="F239" s="35">
        <f>'APÊNDICE II-MEMÓRIA DE CÁLCULO'!L240</f>
        <v>580</v>
      </c>
      <c r="G239" s="63" t="s">
        <v>809</v>
      </c>
      <c r="H239" s="64">
        <v>6</v>
      </c>
      <c r="I239" s="67">
        <v>0.7</v>
      </c>
      <c r="J239" s="73" t="s">
        <v>810</v>
      </c>
      <c r="K239" s="66">
        <v>1</v>
      </c>
      <c r="L239" s="67">
        <v>0.7</v>
      </c>
      <c r="M239" s="63" t="s">
        <v>610</v>
      </c>
      <c r="N239" s="66">
        <v>1</v>
      </c>
      <c r="O239" s="67">
        <v>0.69</v>
      </c>
      <c r="P239" s="68" t="s">
        <v>406</v>
      </c>
      <c r="Q239" s="66">
        <v>1</v>
      </c>
      <c r="R239" s="67">
        <v>1.0900000000000001</v>
      </c>
      <c r="S239" s="40" t="s">
        <v>31</v>
      </c>
      <c r="T239" s="55" t="s">
        <v>31</v>
      </c>
      <c r="U239" s="37" t="s">
        <v>31</v>
      </c>
      <c r="V239" s="37">
        <f t="shared" si="34"/>
        <v>0.17036725037400843</v>
      </c>
      <c r="W239" s="58">
        <f t="shared" si="35"/>
        <v>0.21429842814340685</v>
      </c>
      <c r="X239" s="23">
        <f>ROUND(SUM(I239*H239,L239*K239,O239*N239,R239*Q239,)/SUM(H239,K239,N239,Q239,),2)</f>
        <v>0.74</v>
      </c>
      <c r="Y239" s="38">
        <f t="shared" si="33"/>
        <v>429.2</v>
      </c>
      <c r="Z239" s="6">
        <f t="shared" si="37"/>
        <v>0.7</v>
      </c>
      <c r="AA239" s="5">
        <f t="shared" si="38"/>
        <v>0.79499999999999993</v>
      </c>
      <c r="AB239" s="8">
        <f t="shared" si="39"/>
        <v>0.17036725037400843</v>
      </c>
      <c r="AC239" s="7">
        <f t="shared" si="40"/>
        <v>0.21429842814340685</v>
      </c>
      <c r="AD239" s="5"/>
      <c r="AE239" s="5"/>
    </row>
    <row r="240" spans="1:31" ht="111" customHeight="1" x14ac:dyDescent="0.3">
      <c r="A240" s="26">
        <v>236</v>
      </c>
      <c r="B240" s="32">
        <f>'APÊNDICE II-MEMÓRIA DE CÁLCULO'!B241</f>
        <v>12506</v>
      </c>
      <c r="C240" s="33">
        <f>'APÊNDICE II-MEMÓRIA DE CÁLCULO'!C241</f>
        <v>437438</v>
      </c>
      <c r="D240" s="34" t="str">
        <f>'APÊNDICE II-MEMÓRIA DE CÁLCULO'!D241</f>
        <v>Sonda de trato urinário - modelo: uretral, tamanho: Nº 18,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40" s="33" t="str">
        <f>'APÊNDICE II-MEMÓRIA DE CÁLCULO'!E241</f>
        <v>UNIDADE</v>
      </c>
      <c r="F240" s="35">
        <f>'APÊNDICE II-MEMÓRIA DE CÁLCULO'!L241</f>
        <v>100</v>
      </c>
      <c r="G240" s="63" t="s">
        <v>809</v>
      </c>
      <c r="H240" s="64">
        <v>2</v>
      </c>
      <c r="I240" s="67">
        <v>1.25</v>
      </c>
      <c r="J240" s="73" t="s">
        <v>810</v>
      </c>
      <c r="K240" s="66">
        <v>2</v>
      </c>
      <c r="L240" s="67">
        <v>1.25</v>
      </c>
      <c r="M240" s="63" t="s">
        <v>611</v>
      </c>
      <c r="N240" s="66">
        <v>1</v>
      </c>
      <c r="O240" s="67">
        <v>0.84</v>
      </c>
      <c r="P240" s="68" t="s">
        <v>406</v>
      </c>
      <c r="Q240" s="66">
        <v>1</v>
      </c>
      <c r="R240" s="67">
        <v>1.34</v>
      </c>
      <c r="S240" s="68" t="s">
        <v>787</v>
      </c>
      <c r="T240" s="66">
        <v>1</v>
      </c>
      <c r="U240" s="67">
        <v>0.89</v>
      </c>
      <c r="V240" s="37">
        <f t="shared" si="34"/>
        <v>0.20655265672462428</v>
      </c>
      <c r="W240" s="58">
        <f t="shared" si="35"/>
        <v>0.18541531124293026</v>
      </c>
      <c r="X240" s="23">
        <f>ROUND(SUM(I240*H240,L240*K240,O240*N240,R240*Q240,U240*T240,)/SUM(H240,K240,N240,Q240,T240,),2)</f>
        <v>1.1499999999999999</v>
      </c>
      <c r="Y240" s="38">
        <f t="shared" si="33"/>
        <v>114.99999999999999</v>
      </c>
      <c r="Z240" s="6">
        <f t="shared" si="37"/>
        <v>1.07</v>
      </c>
      <c r="AA240" s="5">
        <f t="shared" si="38"/>
        <v>1.1139999999999999</v>
      </c>
      <c r="AB240" s="8">
        <f t="shared" si="39"/>
        <v>0.20655265672462428</v>
      </c>
      <c r="AC240" s="7">
        <f t="shared" si="40"/>
        <v>0.18541531124293026</v>
      </c>
      <c r="AD240" s="5"/>
      <c r="AE240" s="5"/>
    </row>
    <row r="241" spans="1:31" ht="111" customHeight="1" x14ac:dyDescent="0.3">
      <c r="A241" s="26">
        <v>237</v>
      </c>
      <c r="B241" s="32">
        <f>'APÊNDICE II-MEMÓRIA DE CÁLCULO'!B242</f>
        <v>12507</v>
      </c>
      <c r="C241" s="33">
        <f>'APÊNDICE II-MEMÓRIA DE CÁLCULO'!C242</f>
        <v>437444</v>
      </c>
      <c r="D241" s="34" t="str">
        <f>'APÊNDICE II-MEMÓRIA DE CÁLCULO'!D242</f>
        <v>Sonda de trato urinário - modelo: uretral, tamanho: Nº 20, material: pvc, esterilidade: estéril, descartável, características adicionais: confeccionada em material atóxico, maleável, transparente, atraumático, siliconizado, com orifício único, distal. Embalagem adequada que permita abertura asséptica, com dados de identificação e procedência.</v>
      </c>
      <c r="E241" s="33" t="str">
        <f>'APÊNDICE II-MEMÓRIA DE CÁLCULO'!E242</f>
        <v>UNIDADE</v>
      </c>
      <c r="F241" s="35">
        <f>'APÊNDICE II-MEMÓRIA DE CÁLCULO'!L242</f>
        <v>100</v>
      </c>
      <c r="G241" s="25" t="s">
        <v>31</v>
      </c>
      <c r="H241" s="54" t="s">
        <v>31</v>
      </c>
      <c r="I241" s="37" t="s">
        <v>31</v>
      </c>
      <c r="J241" s="73" t="s">
        <v>810</v>
      </c>
      <c r="K241" s="66">
        <v>1</v>
      </c>
      <c r="L241" s="67">
        <v>1.26</v>
      </c>
      <c r="M241" s="63" t="s">
        <v>612</v>
      </c>
      <c r="N241" s="66">
        <v>1</v>
      </c>
      <c r="O241" s="67">
        <v>0.83</v>
      </c>
      <c r="P241" s="68" t="s">
        <v>356</v>
      </c>
      <c r="Q241" s="66">
        <v>1</v>
      </c>
      <c r="R241" s="67">
        <v>1.98</v>
      </c>
      <c r="S241" s="68" t="s">
        <v>762</v>
      </c>
      <c r="T241" s="66">
        <v>1</v>
      </c>
      <c r="U241" s="67">
        <v>1.9</v>
      </c>
      <c r="V241" s="37">
        <f t="shared" si="34"/>
        <v>0.47346462381048121</v>
      </c>
      <c r="W241" s="58">
        <f t="shared" si="35"/>
        <v>0.31722922868373954</v>
      </c>
      <c r="X241" s="23">
        <f>ROUND(SUM(L241*K241,O241*N241,R241*Q241,U241*T241,)/SUM(K241,N241,Q241,T241,),2)</f>
        <v>1.49</v>
      </c>
      <c r="Y241" s="38">
        <f t="shared" si="33"/>
        <v>149</v>
      </c>
      <c r="Z241" s="6">
        <f t="shared" si="37"/>
        <v>1.26</v>
      </c>
      <c r="AA241" s="5">
        <f t="shared" si="38"/>
        <v>1.4924999999999999</v>
      </c>
      <c r="AB241" s="8">
        <f t="shared" si="39"/>
        <v>0.47346462381048121</v>
      </c>
      <c r="AC241" s="7">
        <f t="shared" si="40"/>
        <v>0.31722922868373954</v>
      </c>
      <c r="AD241" s="5"/>
      <c r="AE241" s="5"/>
    </row>
    <row r="242" spans="1:31" ht="111" customHeight="1" x14ac:dyDescent="0.3">
      <c r="A242" s="26">
        <v>238</v>
      </c>
      <c r="B242" s="32">
        <f>'APÊNDICE II-MEMÓRIA DE CÁLCULO'!B243</f>
        <v>12508</v>
      </c>
      <c r="C242" s="33" t="str">
        <f>'APÊNDICE II-MEMÓRIA DE CÁLCULO'!C243</f>
        <v>-</v>
      </c>
      <c r="D242" s="34" t="str">
        <f>'APÊNDICE II-MEMÓRIA DE CÁLCULO'!D243</f>
        <v>Sonda de aspiração traqueal - tamanho: Nº 04,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2" s="33" t="str">
        <f>'APÊNDICE II-MEMÓRIA DE CÁLCULO'!E243</f>
        <v>UNIDADE</v>
      </c>
      <c r="F242" s="35">
        <f>'APÊNDICE II-MEMÓRIA DE CÁLCULO'!L243</f>
        <v>100</v>
      </c>
      <c r="G242" s="63" t="s">
        <v>809</v>
      </c>
      <c r="H242" s="64">
        <v>3</v>
      </c>
      <c r="I242" s="67">
        <v>1.28</v>
      </c>
      <c r="J242" s="56" t="s">
        <v>31</v>
      </c>
      <c r="K242" s="55" t="s">
        <v>31</v>
      </c>
      <c r="L242" s="37" t="s">
        <v>31</v>
      </c>
      <c r="M242" s="63" t="s">
        <v>646</v>
      </c>
      <c r="N242" s="66">
        <v>1</v>
      </c>
      <c r="O242" s="67">
        <v>0.61</v>
      </c>
      <c r="P242" s="68" t="s">
        <v>356</v>
      </c>
      <c r="Q242" s="66">
        <v>1</v>
      </c>
      <c r="R242" s="67">
        <v>0.94</v>
      </c>
      <c r="S242" s="68" t="s">
        <v>344</v>
      </c>
      <c r="T242" s="66">
        <v>1</v>
      </c>
      <c r="U242" s="67">
        <v>0.98</v>
      </c>
      <c r="V242" s="37">
        <f t="shared" si="34"/>
        <v>0.23742103950576909</v>
      </c>
      <c r="W242" s="58">
        <f t="shared" si="35"/>
        <v>0.24926093386432449</v>
      </c>
      <c r="X242" s="23">
        <f>ROUND(SUM(I242*H242,O242*N242,R242*Q242,U242*T242,)/SUM(H242,N242,Q242,T242,),2)</f>
        <v>1.06</v>
      </c>
      <c r="Y242" s="38">
        <f t="shared" si="33"/>
        <v>106</v>
      </c>
      <c r="Z242" s="6">
        <f t="shared" si="37"/>
        <v>0.94</v>
      </c>
      <c r="AA242" s="5">
        <f t="shared" si="38"/>
        <v>0.95250000000000001</v>
      </c>
      <c r="AB242" s="8">
        <f t="shared" si="39"/>
        <v>0.23742103950576909</v>
      </c>
      <c r="AC242" s="7">
        <f t="shared" si="40"/>
        <v>0.24926093386432449</v>
      </c>
      <c r="AD242" s="5"/>
      <c r="AE242" s="5"/>
    </row>
    <row r="243" spans="1:31" ht="111" customHeight="1" x14ac:dyDescent="0.3">
      <c r="A243" s="26">
        <v>239</v>
      </c>
      <c r="B243" s="32">
        <f>'APÊNDICE II-MEMÓRIA DE CÁLCULO'!B244</f>
        <v>12509</v>
      </c>
      <c r="C243" s="33">
        <f>'APÊNDICE II-MEMÓRIA DE CÁLCULO'!C244</f>
        <v>454391</v>
      </c>
      <c r="D243" s="34" t="str">
        <f>'APÊNDICE II-MEMÓRIA DE CÁLCULO'!D244</f>
        <v>Sonda de aspiração traqueal - tamanho: Nº 06,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3" s="33" t="str">
        <f>'APÊNDICE II-MEMÓRIA DE CÁLCULO'!E244</f>
        <v>UNIDADE</v>
      </c>
      <c r="F243" s="35">
        <f>'APÊNDICE II-MEMÓRIA DE CÁLCULO'!L244</f>
        <v>200</v>
      </c>
      <c r="G243" s="63" t="s">
        <v>809</v>
      </c>
      <c r="H243" s="64">
        <v>1</v>
      </c>
      <c r="I243" s="67">
        <v>0.85</v>
      </c>
      <c r="J243" s="56" t="s">
        <v>31</v>
      </c>
      <c r="K243" s="55" t="s">
        <v>31</v>
      </c>
      <c r="L243" s="37" t="s">
        <v>31</v>
      </c>
      <c r="M243" s="63" t="s">
        <v>613</v>
      </c>
      <c r="N243" s="66">
        <v>1</v>
      </c>
      <c r="O243" s="67">
        <v>0.64</v>
      </c>
      <c r="P243" s="68" t="s">
        <v>344</v>
      </c>
      <c r="Q243" s="66">
        <v>1</v>
      </c>
      <c r="R243" s="67">
        <v>0.98</v>
      </c>
      <c r="S243" s="68" t="s">
        <v>703</v>
      </c>
      <c r="T243" s="66">
        <v>1</v>
      </c>
      <c r="U243" s="67">
        <v>0.9</v>
      </c>
      <c r="V243" s="37">
        <f t="shared" si="34"/>
        <v>0.12577261228105308</v>
      </c>
      <c r="W243" s="58">
        <f t="shared" si="35"/>
        <v>0.14928499974012235</v>
      </c>
      <c r="X243" s="23">
        <f>ROUND(SUM(I243*H243,O243*N243,R243*Q243,U243*T243,)/SUM(H243,N243,Q243,T243,),2)</f>
        <v>0.84</v>
      </c>
      <c r="Y243" s="38">
        <f t="shared" si="33"/>
        <v>168</v>
      </c>
      <c r="Z243" s="6">
        <f t="shared" si="37"/>
        <v>0.85</v>
      </c>
      <c r="AA243" s="5">
        <f t="shared" si="38"/>
        <v>0.84249999999999992</v>
      </c>
      <c r="AB243" s="8">
        <f t="shared" si="39"/>
        <v>0.12577261228105308</v>
      </c>
      <c r="AC243" s="7">
        <f t="shared" si="40"/>
        <v>0.14928499974012235</v>
      </c>
      <c r="AD243" s="5"/>
      <c r="AE243" s="5"/>
    </row>
    <row r="244" spans="1:31" ht="111" customHeight="1" x14ac:dyDescent="0.3">
      <c r="A244" s="26">
        <v>240</v>
      </c>
      <c r="B244" s="32">
        <f>'APÊNDICE II-MEMÓRIA DE CÁLCULO'!B245</f>
        <v>12510</v>
      </c>
      <c r="C244" s="33">
        <f>'APÊNDICE II-MEMÓRIA DE CÁLCULO'!C245</f>
        <v>454406</v>
      </c>
      <c r="D244" s="34" t="str">
        <f>'APÊNDICE II-MEMÓRIA DE CÁLCULO'!D245</f>
        <v>Sonda de aspiração traqueal - tamanho: Nº 08,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4" s="33" t="str">
        <f>'APÊNDICE II-MEMÓRIA DE CÁLCULO'!E245</f>
        <v>UNIDADE</v>
      </c>
      <c r="F244" s="35">
        <f>'APÊNDICE II-MEMÓRIA DE CÁLCULO'!L245</f>
        <v>500</v>
      </c>
      <c r="G244" s="63" t="s">
        <v>809</v>
      </c>
      <c r="H244" s="64">
        <v>1</v>
      </c>
      <c r="I244" s="67">
        <v>1.01</v>
      </c>
      <c r="J244" s="73" t="s">
        <v>810</v>
      </c>
      <c r="K244" s="66">
        <v>4</v>
      </c>
      <c r="L244" s="67">
        <v>0.62</v>
      </c>
      <c r="M244" s="63" t="s">
        <v>614</v>
      </c>
      <c r="N244" s="66">
        <v>1</v>
      </c>
      <c r="O244" s="67">
        <v>0.65</v>
      </c>
      <c r="P244" s="68" t="s">
        <v>356</v>
      </c>
      <c r="Q244" s="66">
        <v>1</v>
      </c>
      <c r="R244" s="67">
        <v>0.94</v>
      </c>
      <c r="S244" s="68" t="s">
        <v>344</v>
      </c>
      <c r="T244" s="66">
        <v>1</v>
      </c>
      <c r="U244" s="67">
        <v>0.98</v>
      </c>
      <c r="V244" s="37">
        <f t="shared" si="34"/>
        <v>0.16911534525287761</v>
      </c>
      <c r="W244" s="58">
        <f t="shared" si="35"/>
        <v>0.20132779196771142</v>
      </c>
      <c r="X244" s="23">
        <f>ROUND(SUM(I244*H244,L244*K244,O244*N244,R244*Q244,U244*T244,)/SUM(H244,K244,N244,Q244,T244,),2)</f>
        <v>0.76</v>
      </c>
      <c r="Y244" s="38">
        <f t="shared" si="33"/>
        <v>380</v>
      </c>
      <c r="Z244" s="6">
        <f t="shared" si="37"/>
        <v>0.79499999999999993</v>
      </c>
      <c r="AA244" s="5">
        <f t="shared" si="38"/>
        <v>0.84000000000000008</v>
      </c>
      <c r="AB244" s="8">
        <f t="shared" si="39"/>
        <v>0.16911534525287761</v>
      </c>
      <c r="AC244" s="7">
        <f t="shared" si="40"/>
        <v>0.20132779196771142</v>
      </c>
      <c r="AD244" s="5"/>
      <c r="AE244" s="5"/>
    </row>
    <row r="245" spans="1:31" ht="111" customHeight="1" x14ac:dyDescent="0.3">
      <c r="A245" s="26">
        <v>241</v>
      </c>
      <c r="B245" s="32">
        <f>'APÊNDICE II-MEMÓRIA DE CÁLCULO'!B246</f>
        <v>12880</v>
      </c>
      <c r="C245" s="33">
        <f>'APÊNDICE II-MEMÓRIA DE CÁLCULO'!C246</f>
        <v>454404</v>
      </c>
      <c r="D245" s="34" t="str">
        <f>'APÊNDICE II-MEMÓRIA DE CÁLCULO'!D246</f>
        <v>Sonda de aspiração traqueal - tamanho: Nº 10,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5" s="33" t="str">
        <f>'APÊNDICE II-MEMÓRIA DE CÁLCULO'!E246</f>
        <v>UNIDADE</v>
      </c>
      <c r="F245" s="35">
        <f>'APÊNDICE II-MEMÓRIA DE CÁLCULO'!L246</f>
        <v>1500</v>
      </c>
      <c r="G245" s="63" t="s">
        <v>809</v>
      </c>
      <c r="H245" s="64">
        <v>1</v>
      </c>
      <c r="I245" s="67">
        <v>0.6</v>
      </c>
      <c r="J245" s="73" t="s">
        <v>810</v>
      </c>
      <c r="K245" s="66">
        <v>1</v>
      </c>
      <c r="L245" s="67">
        <v>0.77</v>
      </c>
      <c r="M245" s="63" t="s">
        <v>615</v>
      </c>
      <c r="N245" s="66">
        <v>1</v>
      </c>
      <c r="O245" s="67">
        <v>0.65</v>
      </c>
      <c r="P245" s="68" t="s">
        <v>762</v>
      </c>
      <c r="Q245" s="66">
        <v>1</v>
      </c>
      <c r="R245" s="67">
        <v>1</v>
      </c>
      <c r="S245" s="68" t="s">
        <v>406</v>
      </c>
      <c r="T245" s="66">
        <v>1</v>
      </c>
      <c r="U245" s="67">
        <v>0.9</v>
      </c>
      <c r="V245" s="37">
        <f t="shared" si="34"/>
        <v>0.14974645237867967</v>
      </c>
      <c r="W245" s="58">
        <f t="shared" si="35"/>
        <v>0.19100312803403019</v>
      </c>
      <c r="X245" s="23">
        <f>ROUND(SUM(I245*H245,L245*K245,O245*N245,R245*Q245,U245*T245,)/SUM(H245,K245,N245,Q245,T245,),2)</f>
        <v>0.78</v>
      </c>
      <c r="Y245" s="38">
        <f t="shared" si="33"/>
        <v>1170</v>
      </c>
      <c r="Z245" s="6">
        <f t="shared" si="37"/>
        <v>0.71</v>
      </c>
      <c r="AA245" s="5">
        <f t="shared" si="38"/>
        <v>0.78400000000000003</v>
      </c>
      <c r="AB245" s="8">
        <f t="shared" si="39"/>
        <v>0.14974645237867967</v>
      </c>
      <c r="AC245" s="7">
        <f t="shared" si="40"/>
        <v>0.19100312803403019</v>
      </c>
      <c r="AD245" s="5"/>
      <c r="AE245" s="5"/>
    </row>
    <row r="246" spans="1:31" ht="111" customHeight="1" x14ac:dyDescent="0.3">
      <c r="A246" s="26">
        <v>242</v>
      </c>
      <c r="B246" s="32">
        <f>'APÊNDICE II-MEMÓRIA DE CÁLCULO'!B247</f>
        <v>12512</v>
      </c>
      <c r="C246" s="33">
        <f>'APÊNDICE II-MEMÓRIA DE CÁLCULO'!C247</f>
        <v>454405</v>
      </c>
      <c r="D246" s="34" t="str">
        <f>'APÊNDICE II-MEMÓRIA DE CÁLCULO'!D247</f>
        <v>Sonda de aspiração traqueal - tamanho: Nº 12,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6" s="33" t="str">
        <f>'APÊNDICE II-MEMÓRIA DE CÁLCULO'!E247</f>
        <v>UNIDADE</v>
      </c>
      <c r="F246" s="35">
        <f>'APÊNDICE II-MEMÓRIA DE CÁLCULO'!L247</f>
        <v>150</v>
      </c>
      <c r="G246" s="63" t="s">
        <v>809</v>
      </c>
      <c r="H246" s="64">
        <v>1</v>
      </c>
      <c r="I246" s="67">
        <v>1.1000000000000001</v>
      </c>
      <c r="J246" s="73" t="s">
        <v>810</v>
      </c>
      <c r="K246" s="66">
        <v>2</v>
      </c>
      <c r="L246" s="67">
        <v>0.61</v>
      </c>
      <c r="M246" s="63" t="s">
        <v>616</v>
      </c>
      <c r="N246" s="66">
        <v>1</v>
      </c>
      <c r="O246" s="67">
        <v>0.69</v>
      </c>
      <c r="P246" s="68" t="s">
        <v>825</v>
      </c>
      <c r="Q246" s="66">
        <v>1</v>
      </c>
      <c r="R246" s="67">
        <v>1.03</v>
      </c>
      <c r="S246" s="68" t="s">
        <v>340</v>
      </c>
      <c r="T246" s="66">
        <v>1</v>
      </c>
      <c r="U246" s="67">
        <v>1.1399999999999999</v>
      </c>
      <c r="V246" s="37">
        <f t="shared" si="34"/>
        <v>0.21987269043698873</v>
      </c>
      <c r="W246" s="58">
        <f t="shared" si="35"/>
        <v>0.24056093045622398</v>
      </c>
      <c r="X246" s="23">
        <f>ROUND(SUM(I246*H246,L246*K246,O246*N246,R246*Q246,U246*T246,)/SUM(H246,K246,N246,Q246,T246,),2)</f>
        <v>0.86</v>
      </c>
      <c r="Y246" s="38">
        <f t="shared" si="33"/>
        <v>129</v>
      </c>
      <c r="Z246" s="6">
        <f t="shared" si="37"/>
        <v>0.86</v>
      </c>
      <c r="AA246" s="5">
        <f t="shared" si="38"/>
        <v>0.91400000000000003</v>
      </c>
      <c r="AB246" s="8">
        <f t="shared" si="39"/>
        <v>0.21987269043698873</v>
      </c>
      <c r="AC246" s="7">
        <f t="shared" si="40"/>
        <v>0.24056093045622398</v>
      </c>
      <c r="AD246" s="5"/>
      <c r="AE246" s="5"/>
    </row>
    <row r="247" spans="1:31" ht="111" customHeight="1" x14ac:dyDescent="0.3">
      <c r="A247" s="26">
        <v>243</v>
      </c>
      <c r="B247" s="32">
        <f>'APÊNDICE II-MEMÓRIA DE CÁLCULO'!B248</f>
        <v>12513</v>
      </c>
      <c r="C247" s="33">
        <f>'APÊNDICE II-MEMÓRIA DE CÁLCULO'!C248</f>
        <v>454402</v>
      </c>
      <c r="D247" s="34" t="str">
        <f>'APÊNDICE II-MEMÓRIA DE CÁLCULO'!D248</f>
        <v>Sonda de aspiração traqueal - tamanho: Nº 14,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7" s="33" t="str">
        <f>'APÊNDICE II-MEMÓRIA DE CÁLCULO'!E248</f>
        <v>UNIDADE</v>
      </c>
      <c r="F247" s="35">
        <f>'APÊNDICE II-MEMÓRIA DE CÁLCULO'!L248</f>
        <v>1500</v>
      </c>
      <c r="G247" s="63" t="s">
        <v>809</v>
      </c>
      <c r="H247" s="64">
        <v>1</v>
      </c>
      <c r="I247" s="67">
        <v>1.18</v>
      </c>
      <c r="J247" s="56" t="s">
        <v>31</v>
      </c>
      <c r="K247" s="55" t="s">
        <v>31</v>
      </c>
      <c r="L247" s="37" t="s">
        <v>31</v>
      </c>
      <c r="M247" s="63" t="s">
        <v>617</v>
      </c>
      <c r="N247" s="66">
        <v>1</v>
      </c>
      <c r="O247" s="67">
        <v>0.72</v>
      </c>
      <c r="P247" s="68" t="s">
        <v>703</v>
      </c>
      <c r="Q247" s="66">
        <v>1</v>
      </c>
      <c r="R247" s="67">
        <v>1.2</v>
      </c>
      <c r="S247" s="68" t="s">
        <v>791</v>
      </c>
      <c r="T247" s="66">
        <v>1</v>
      </c>
      <c r="U247" s="67">
        <v>1.3</v>
      </c>
      <c r="V247" s="37">
        <f t="shared" si="34"/>
        <v>0.22405356502408133</v>
      </c>
      <c r="W247" s="58">
        <f t="shared" si="35"/>
        <v>0.20368505911280124</v>
      </c>
      <c r="X247" s="23">
        <f>ROUND(SUM(I247*H247,O247*N247,R247*Q247,U247*T247,)/SUM(H247,N247,Q247,T247,),2)</f>
        <v>1.1000000000000001</v>
      </c>
      <c r="Y247" s="38">
        <f t="shared" si="33"/>
        <v>1650.0000000000002</v>
      </c>
      <c r="Z247" s="6">
        <f t="shared" si="37"/>
        <v>1.18</v>
      </c>
      <c r="AA247" s="5">
        <f t="shared" si="38"/>
        <v>1.0999999999999999</v>
      </c>
      <c r="AB247" s="8">
        <f t="shared" si="39"/>
        <v>0.22405356502408133</v>
      </c>
      <c r="AC247" s="7">
        <f t="shared" si="40"/>
        <v>0.20368505911280124</v>
      </c>
      <c r="AD247" s="5"/>
      <c r="AE247" s="5"/>
    </row>
    <row r="248" spans="1:31" ht="111" customHeight="1" x14ac:dyDescent="0.3">
      <c r="A248" s="26">
        <v>244</v>
      </c>
      <c r="B248" s="32">
        <f>'APÊNDICE II-MEMÓRIA DE CÁLCULO'!B249</f>
        <v>12514</v>
      </c>
      <c r="C248" s="33">
        <f>'APÊNDICE II-MEMÓRIA DE CÁLCULO'!C249</f>
        <v>454403</v>
      </c>
      <c r="D248" s="34" t="str">
        <f>'APÊNDICE II-MEMÓRIA DE CÁLCULO'!D249</f>
        <v>Sonda de aspiração traqueal - tamanho: Nº 16,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v>
      </c>
      <c r="E248" s="33" t="str">
        <f>'APÊNDICE II-MEMÓRIA DE CÁLCULO'!E249</f>
        <v>UNIDADE</v>
      </c>
      <c r="F248" s="35">
        <f>'APÊNDICE II-MEMÓRIA DE CÁLCULO'!L249</f>
        <v>500</v>
      </c>
      <c r="G248" s="63" t="s">
        <v>809</v>
      </c>
      <c r="H248" s="64">
        <v>1</v>
      </c>
      <c r="I248" s="67">
        <v>1.27</v>
      </c>
      <c r="J248" s="73" t="s">
        <v>810</v>
      </c>
      <c r="K248" s="66">
        <v>5</v>
      </c>
      <c r="L248" s="67">
        <v>0.78</v>
      </c>
      <c r="M248" s="63" t="s">
        <v>647</v>
      </c>
      <c r="N248" s="66">
        <v>1</v>
      </c>
      <c r="O248" s="67">
        <v>0.9</v>
      </c>
      <c r="P248" s="68" t="s">
        <v>406</v>
      </c>
      <c r="Q248" s="66">
        <v>1</v>
      </c>
      <c r="R248" s="67">
        <v>1.46</v>
      </c>
      <c r="S248" s="68" t="s">
        <v>344</v>
      </c>
      <c r="T248" s="66">
        <v>1</v>
      </c>
      <c r="U248" s="67">
        <v>1.41</v>
      </c>
      <c r="V248" s="37">
        <f t="shared" si="34"/>
        <v>0.27441574298862587</v>
      </c>
      <c r="W248" s="58">
        <f t="shared" si="35"/>
        <v>0.23575235651943799</v>
      </c>
      <c r="X248" s="23">
        <f>ROUND(SUM(I248*H248,L248*K248,O248*N248,R248*Q248,U248*T248,)/SUM(H248,K248,N248,Q248,T248,),2)</f>
        <v>0.99</v>
      </c>
      <c r="Y248" s="38">
        <f t="shared" si="33"/>
        <v>495</v>
      </c>
      <c r="Z248" s="6">
        <f t="shared" si="37"/>
        <v>1.085</v>
      </c>
      <c r="AA248" s="5">
        <f t="shared" si="38"/>
        <v>1.1640000000000001</v>
      </c>
      <c r="AB248" s="8">
        <f t="shared" si="39"/>
        <v>0.27441574298862587</v>
      </c>
      <c r="AC248" s="7">
        <f t="shared" si="40"/>
        <v>0.23575235651943799</v>
      </c>
      <c r="AD248" s="5"/>
      <c r="AE248" s="5"/>
    </row>
    <row r="249" spans="1:31" ht="111" customHeight="1" x14ac:dyDescent="0.3">
      <c r="A249" s="26">
        <v>245</v>
      </c>
      <c r="B249" s="32">
        <f>'APÊNDICE II-MEMÓRIA DE CÁLCULO'!B250</f>
        <v>12515</v>
      </c>
      <c r="C249" s="33" t="str">
        <f>'APÊNDICE II-MEMÓRIA DE CÁLCULO'!C250</f>
        <v>-</v>
      </c>
      <c r="D249" s="34" t="str">
        <f>'APÊNDICE II-MEMÓRIA DE CÁLCULO'!D250</f>
        <v xml:space="preserve">Sonda de aspiração traqueal - tamanho: Nº 18, material: pvc atóxico, características adicionais: flexível transparente e com a superfície rigorosamente lisa, com a ponta arredondada aberta no lado proximal do tubo e 2 orifícios alternados em lados opostos, conector perfeitamente adaptável em seringas no lado distal do tubo, esterilização a óxido de etileno. Embalagem com dados de identificação, nº de lote e validade, registro em órgão competente.
</v>
      </c>
      <c r="E249" s="33" t="str">
        <f>'APÊNDICE II-MEMÓRIA DE CÁLCULO'!E250</f>
        <v>UNIDADE</v>
      </c>
      <c r="F249" s="35">
        <f>'APÊNDICE II-MEMÓRIA DE CÁLCULO'!L250</f>
        <v>500</v>
      </c>
      <c r="G249" s="63" t="s">
        <v>809</v>
      </c>
      <c r="H249" s="64">
        <v>1</v>
      </c>
      <c r="I249" s="67">
        <v>1.8</v>
      </c>
      <c r="J249" s="56" t="s">
        <v>31</v>
      </c>
      <c r="K249" s="55" t="s">
        <v>31</v>
      </c>
      <c r="L249" s="37" t="s">
        <v>31</v>
      </c>
      <c r="M249" s="63" t="s">
        <v>648</v>
      </c>
      <c r="N249" s="66">
        <v>1</v>
      </c>
      <c r="O249" s="67">
        <v>1</v>
      </c>
      <c r="P249" s="68" t="s">
        <v>689</v>
      </c>
      <c r="Q249" s="66">
        <v>1</v>
      </c>
      <c r="R249" s="67">
        <v>1.4</v>
      </c>
      <c r="S249" s="68" t="s">
        <v>732</v>
      </c>
      <c r="T249" s="66">
        <v>1</v>
      </c>
      <c r="U249" s="67">
        <v>1.42</v>
      </c>
      <c r="V249" s="37">
        <f t="shared" si="34"/>
        <v>0.28297526393662142</v>
      </c>
      <c r="W249" s="58">
        <f t="shared" si="35"/>
        <v>0.20140588180542454</v>
      </c>
      <c r="X249" s="23">
        <f>ROUND(SUM(I249*H249,O249*N249,R249*Q249,U249*T249,)/SUM(H249,N249,Q249,T249,),2)</f>
        <v>1.41</v>
      </c>
      <c r="Y249" s="38">
        <f t="shared" si="33"/>
        <v>705</v>
      </c>
      <c r="Z249" s="6">
        <f t="shared" si="37"/>
        <v>1.4</v>
      </c>
      <c r="AA249" s="5">
        <f t="shared" si="38"/>
        <v>1.4049999999999998</v>
      </c>
      <c r="AB249" s="8">
        <f t="shared" si="39"/>
        <v>0.28297526393662142</v>
      </c>
      <c r="AC249" s="7">
        <f t="shared" si="40"/>
        <v>0.20140588180542454</v>
      </c>
      <c r="AD249" s="5"/>
      <c r="AE249" s="5"/>
    </row>
    <row r="250" spans="1:31" ht="111" customHeight="1" x14ac:dyDescent="0.3">
      <c r="A250" s="26">
        <v>246</v>
      </c>
      <c r="B250" s="32">
        <f>'APÊNDICE II-MEMÓRIA DE CÁLCULO'!B251</f>
        <v>16342</v>
      </c>
      <c r="C250" s="33" t="str">
        <f>'APÊNDICE II-MEMÓRIA DE CÁLCULO'!C251</f>
        <v>-</v>
      </c>
      <c r="D250" s="34" t="str">
        <f>'APÊNDICE II-MEMÓRIA DE CÁLCULO'!D251</f>
        <v>Tubo endotraqueal - tamanho: Nº 4,0, material: pvc,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0" s="33" t="str">
        <f>'APÊNDICE II-MEMÓRIA DE CÁLCULO'!E251</f>
        <v>UNIDADE</v>
      </c>
      <c r="F250" s="35">
        <f>'APÊNDICE II-MEMÓRIA DE CÁLCULO'!L251</f>
        <v>40</v>
      </c>
      <c r="G250" s="63" t="s">
        <v>809</v>
      </c>
      <c r="H250" s="64">
        <v>3</v>
      </c>
      <c r="I250" s="67">
        <v>5.96</v>
      </c>
      <c r="J250" s="56" t="s">
        <v>31</v>
      </c>
      <c r="K250" s="55" t="s">
        <v>31</v>
      </c>
      <c r="L250" s="37" t="s">
        <v>31</v>
      </c>
      <c r="M250" s="63" t="s">
        <v>649</v>
      </c>
      <c r="N250" s="66">
        <v>1</v>
      </c>
      <c r="O250" s="67">
        <v>4</v>
      </c>
      <c r="P250" s="68" t="s">
        <v>792</v>
      </c>
      <c r="Q250" s="66">
        <v>1</v>
      </c>
      <c r="R250" s="67">
        <v>7.45</v>
      </c>
      <c r="S250" s="68" t="s">
        <v>355</v>
      </c>
      <c r="T250" s="66">
        <v>1</v>
      </c>
      <c r="U250" s="67">
        <v>4.8499999999999996</v>
      </c>
      <c r="V250" s="37">
        <f t="shared" si="34"/>
        <v>1.291288116571979</v>
      </c>
      <c r="W250" s="58">
        <f t="shared" si="35"/>
        <v>0.2320373974073637</v>
      </c>
      <c r="X250" s="23">
        <f>ROUND(SUM(I250*H250,O250*N250,R250*Q250,U250*T250,)/SUM(H250,N250,Q250,T250,),2)</f>
        <v>5.7</v>
      </c>
      <c r="Y250" s="38">
        <f t="shared" si="33"/>
        <v>228</v>
      </c>
      <c r="Z250" s="6">
        <f t="shared" si="37"/>
        <v>4.8499999999999996</v>
      </c>
      <c r="AA250" s="5">
        <f t="shared" si="38"/>
        <v>5.5649999999999995</v>
      </c>
      <c r="AB250" s="8">
        <f t="shared" si="39"/>
        <v>1.291288116571979</v>
      </c>
      <c r="AC250" s="7">
        <f t="shared" si="40"/>
        <v>0.2320373974073637</v>
      </c>
      <c r="AD250" s="5"/>
      <c r="AE250" s="5"/>
    </row>
    <row r="251" spans="1:31" ht="111" customHeight="1" x14ac:dyDescent="0.3">
      <c r="A251" s="26">
        <v>247</v>
      </c>
      <c r="B251" s="32">
        <f>'APÊNDICE II-MEMÓRIA DE CÁLCULO'!B252</f>
        <v>16343</v>
      </c>
      <c r="C251" s="33" t="str">
        <f>'APÊNDICE II-MEMÓRIA DE CÁLCULO'!C252</f>
        <v>-</v>
      </c>
      <c r="D251" s="34" t="str">
        <f>'APÊNDICE II-MEMÓRIA DE CÁLCULO'!D252</f>
        <v>Tubo endotraqueal - tamanho: Nº 5,0,características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1" s="33" t="str">
        <f>'APÊNDICE II-MEMÓRIA DE CÁLCULO'!E252</f>
        <v>UNIDADE</v>
      </c>
      <c r="F251" s="35">
        <f>'APÊNDICE II-MEMÓRIA DE CÁLCULO'!L252</f>
        <v>90</v>
      </c>
      <c r="G251" s="63" t="s">
        <v>809</v>
      </c>
      <c r="H251" s="64">
        <v>4</v>
      </c>
      <c r="I251" s="67">
        <v>5.96</v>
      </c>
      <c r="J251" s="73" t="s">
        <v>810</v>
      </c>
      <c r="K251" s="66">
        <v>4</v>
      </c>
      <c r="L251" s="67">
        <v>4.76</v>
      </c>
      <c r="M251" s="63" t="s">
        <v>650</v>
      </c>
      <c r="N251" s="66">
        <v>1</v>
      </c>
      <c r="O251" s="67">
        <v>4</v>
      </c>
      <c r="P251" s="68" t="s">
        <v>767</v>
      </c>
      <c r="Q251" s="66">
        <v>1</v>
      </c>
      <c r="R251" s="67">
        <v>6.18</v>
      </c>
      <c r="S251" s="68" t="s">
        <v>691</v>
      </c>
      <c r="T251" s="66">
        <v>1</v>
      </c>
      <c r="U251" s="67">
        <v>4.8499999999999996</v>
      </c>
      <c r="V251" s="37">
        <f t="shared" si="34"/>
        <v>0.81013579108689926</v>
      </c>
      <c r="W251" s="58">
        <f t="shared" si="35"/>
        <v>0.15730792059939791</v>
      </c>
      <c r="X251" s="23">
        <f>ROUND(SUM(I251*H251,L251*K251,O251*N251,R251*Q251,U251*T251,)/SUM(H251,K251,N251,Q251,T251,),2)</f>
        <v>5.26</v>
      </c>
      <c r="Y251" s="38">
        <f t="shared" si="33"/>
        <v>473.4</v>
      </c>
      <c r="Z251" s="6">
        <f t="shared" si="37"/>
        <v>4.8049999999999997</v>
      </c>
      <c r="AA251" s="5">
        <f t="shared" si="38"/>
        <v>5.15</v>
      </c>
      <c r="AB251" s="8">
        <f t="shared" si="39"/>
        <v>0.81013579108689926</v>
      </c>
      <c r="AC251" s="7">
        <f t="shared" si="40"/>
        <v>0.15730792059939791</v>
      </c>
      <c r="AD251" s="5"/>
      <c r="AE251" s="5"/>
    </row>
    <row r="252" spans="1:31" ht="111" customHeight="1" x14ac:dyDescent="0.3">
      <c r="A252" s="26">
        <v>248</v>
      </c>
      <c r="B252" s="32">
        <f>'APÊNDICE II-MEMÓRIA DE CÁLCULO'!B253</f>
        <v>16344</v>
      </c>
      <c r="C252" s="33">
        <f>'APÊNDICE II-MEMÓRIA DE CÁLCULO'!C253</f>
        <v>454391</v>
      </c>
      <c r="D252" s="34" t="str">
        <f>'APÊNDICE II-MEMÓRIA DE CÁLCULO'!D253</f>
        <v>Tubo endotraqueal - tamanho: Nº 6,0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2" s="33" t="str">
        <f>'APÊNDICE II-MEMÓRIA DE CÁLCULO'!E253</f>
        <v>UNIDADE</v>
      </c>
      <c r="F252" s="35">
        <f>'APÊNDICE II-MEMÓRIA DE CÁLCULO'!L253</f>
        <v>120</v>
      </c>
      <c r="G252" s="63" t="s">
        <v>809</v>
      </c>
      <c r="H252" s="64">
        <v>1</v>
      </c>
      <c r="I252" s="67">
        <v>4.4800000000000004</v>
      </c>
      <c r="J252" s="73" t="s">
        <v>810</v>
      </c>
      <c r="K252" s="66">
        <v>6</v>
      </c>
      <c r="L252" s="67">
        <v>4.9400000000000004</v>
      </c>
      <c r="M252" s="63" t="s">
        <v>651</v>
      </c>
      <c r="N252" s="66">
        <v>1</v>
      </c>
      <c r="O252" s="67">
        <v>4</v>
      </c>
      <c r="P252" s="68" t="s">
        <v>729</v>
      </c>
      <c r="Q252" s="66">
        <v>1</v>
      </c>
      <c r="R252" s="67">
        <v>6.9</v>
      </c>
      <c r="S252" s="68" t="s">
        <v>355</v>
      </c>
      <c r="T252" s="66">
        <v>1</v>
      </c>
      <c r="U252" s="67">
        <v>3.99</v>
      </c>
      <c r="V252" s="37">
        <f t="shared" si="34"/>
        <v>1.0778571333901352</v>
      </c>
      <c r="W252" s="58">
        <f t="shared" si="35"/>
        <v>0.22169007268410842</v>
      </c>
      <c r="X252" s="23">
        <f>ROUND(SUM(I252*H252,L252*K252,O252*N252,R252*Q252,U252*T252,)/SUM(H252,K252,N252,Q252,T252,),2)</f>
        <v>4.9000000000000004</v>
      </c>
      <c r="Y252" s="38">
        <f t="shared" si="33"/>
        <v>588</v>
      </c>
      <c r="Z252" s="6">
        <f t="shared" si="37"/>
        <v>4.24</v>
      </c>
      <c r="AA252" s="5">
        <f t="shared" si="38"/>
        <v>4.8620000000000001</v>
      </c>
      <c r="AB252" s="8">
        <f t="shared" si="39"/>
        <v>1.0778571333901352</v>
      </c>
      <c r="AC252" s="7">
        <f t="shared" si="40"/>
        <v>0.22169007268410842</v>
      </c>
      <c r="AD252" s="5"/>
      <c r="AE252" s="5"/>
    </row>
    <row r="253" spans="1:31" ht="111" customHeight="1" x14ac:dyDescent="0.3">
      <c r="A253" s="26">
        <v>249</v>
      </c>
      <c r="B253" s="32">
        <f>'APÊNDICE II-MEMÓRIA DE CÁLCULO'!B254</f>
        <v>16345</v>
      </c>
      <c r="C253" s="33" t="str">
        <f>'APÊNDICE II-MEMÓRIA DE CÁLCULO'!C254</f>
        <v>-</v>
      </c>
      <c r="D253" s="34" t="str">
        <f>'APÊNDICE II-MEMÓRIA DE CÁLCULO'!D254</f>
        <v>Tubo endotraqueal - tamanho: Nº 7,5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3" s="33" t="str">
        <f>'APÊNDICE II-MEMÓRIA DE CÁLCULO'!E254</f>
        <v>UNIDADE</v>
      </c>
      <c r="F253" s="35">
        <f>'APÊNDICE II-MEMÓRIA DE CÁLCULO'!L254</f>
        <v>200</v>
      </c>
      <c r="G253" s="63" t="s">
        <v>809</v>
      </c>
      <c r="H253" s="64">
        <v>3</v>
      </c>
      <c r="I253" s="67">
        <v>4.2</v>
      </c>
      <c r="J253" s="56" t="s">
        <v>31</v>
      </c>
      <c r="K253" s="55" t="s">
        <v>31</v>
      </c>
      <c r="L253" s="37" t="s">
        <v>31</v>
      </c>
      <c r="M253" s="63" t="s">
        <v>652</v>
      </c>
      <c r="N253" s="66">
        <v>1</v>
      </c>
      <c r="O253" s="67">
        <v>4</v>
      </c>
      <c r="P253" s="68" t="s">
        <v>385</v>
      </c>
      <c r="Q253" s="66">
        <v>1</v>
      </c>
      <c r="R253" s="67">
        <v>6.73</v>
      </c>
      <c r="S253" s="68" t="s">
        <v>793</v>
      </c>
      <c r="T253" s="66">
        <v>1</v>
      </c>
      <c r="U253" s="67">
        <v>6</v>
      </c>
      <c r="V253" s="37">
        <f t="shared" si="34"/>
        <v>1.163687565457328</v>
      </c>
      <c r="W253" s="58">
        <f t="shared" si="35"/>
        <v>0.22239609468845256</v>
      </c>
      <c r="X253" s="23">
        <f>ROUND(SUM(I253*H253,O253*N253,R253*Q253,U253*T253,)/SUM(H253,N253,Q253,T253,),2)</f>
        <v>4.8899999999999997</v>
      </c>
      <c r="Y253" s="38">
        <f t="shared" si="33"/>
        <v>977.99999999999989</v>
      </c>
      <c r="Z253" s="6">
        <f t="shared" si="37"/>
        <v>4.2</v>
      </c>
      <c r="AA253" s="5">
        <f t="shared" si="38"/>
        <v>5.2324999999999999</v>
      </c>
      <c r="AB253" s="8">
        <f t="shared" si="39"/>
        <v>1.163687565457328</v>
      </c>
      <c r="AC253" s="7">
        <f t="shared" si="40"/>
        <v>0.22239609468845256</v>
      </c>
      <c r="AD253" s="5"/>
      <c r="AE253" s="5"/>
    </row>
    <row r="254" spans="1:31" ht="111" customHeight="1" x14ac:dyDescent="0.3">
      <c r="A254" s="26">
        <v>250</v>
      </c>
      <c r="B254" s="32">
        <f>'APÊNDICE II-MEMÓRIA DE CÁLCULO'!B255</f>
        <v>16346</v>
      </c>
      <c r="C254" s="33">
        <f>'APÊNDICE II-MEMÓRIA DE CÁLCULO'!C255</f>
        <v>454406</v>
      </c>
      <c r="D254" s="34" t="str">
        <f>'APÊNDICE II-MEMÓRIA DE CÁLCULO'!D255</f>
        <v>Tubo endotraqueal - tamanho: Nº 8,0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4" s="33" t="str">
        <f>'APÊNDICE II-MEMÓRIA DE CÁLCULO'!E255</f>
        <v>UNIDADE</v>
      </c>
      <c r="F254" s="35">
        <f>'APÊNDICE II-MEMÓRIA DE CÁLCULO'!L255</f>
        <v>50</v>
      </c>
      <c r="G254" s="63" t="s">
        <v>809</v>
      </c>
      <c r="H254" s="64">
        <v>1</v>
      </c>
      <c r="I254" s="67">
        <v>4.74</v>
      </c>
      <c r="J254" s="73" t="s">
        <v>810</v>
      </c>
      <c r="K254" s="66">
        <v>4</v>
      </c>
      <c r="L254" s="67">
        <v>5.26</v>
      </c>
      <c r="M254" s="63" t="s">
        <v>653</v>
      </c>
      <c r="N254" s="66">
        <v>1</v>
      </c>
      <c r="O254" s="67">
        <v>4</v>
      </c>
      <c r="P254" s="68" t="s">
        <v>793</v>
      </c>
      <c r="Q254" s="66">
        <v>1</v>
      </c>
      <c r="R254" s="67">
        <v>6</v>
      </c>
      <c r="S254" s="68" t="s">
        <v>770</v>
      </c>
      <c r="T254" s="66">
        <v>1</v>
      </c>
      <c r="U254" s="67">
        <v>5.65</v>
      </c>
      <c r="V254" s="37">
        <f t="shared" si="34"/>
        <v>0.70330647658045098</v>
      </c>
      <c r="W254" s="58">
        <f t="shared" si="35"/>
        <v>0.13709677906051676</v>
      </c>
      <c r="X254" s="23">
        <f>ROUND(SUM(I254*H254,L254*K254,O254*N254,R254*Q254,U254*T254,)/SUM(H254,K254,N254,Q254,T254,),2)</f>
        <v>5.18</v>
      </c>
      <c r="Y254" s="38">
        <f t="shared" si="33"/>
        <v>259</v>
      </c>
      <c r="Z254" s="6">
        <f t="shared" si="37"/>
        <v>5</v>
      </c>
      <c r="AA254" s="5">
        <f t="shared" si="38"/>
        <v>5.13</v>
      </c>
      <c r="AB254" s="8">
        <f t="shared" si="39"/>
        <v>0.70330647658045098</v>
      </c>
      <c r="AC254" s="7">
        <f t="shared" si="40"/>
        <v>0.13709677906051676</v>
      </c>
      <c r="AD254" s="5"/>
      <c r="AE254" s="5"/>
    </row>
    <row r="255" spans="1:31" ht="111" customHeight="1" x14ac:dyDescent="0.3">
      <c r="A255" s="26">
        <v>251</v>
      </c>
      <c r="B255" s="32">
        <f>'APÊNDICE II-MEMÓRIA DE CÁLCULO'!B256</f>
        <v>16347</v>
      </c>
      <c r="C255" s="33" t="str">
        <f>'APÊNDICE II-MEMÓRIA DE CÁLCULO'!C256</f>
        <v>-</v>
      </c>
      <c r="D255" s="34" t="str">
        <f>'APÊNDICE II-MEMÓRIA DE CÁLCULO'!D256</f>
        <v>Tubo endotraqueal - tamanho: Nº 8,5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5" s="33" t="str">
        <f>'APÊNDICE II-MEMÓRIA DE CÁLCULO'!E256</f>
        <v>UNIDADE</v>
      </c>
      <c r="F255" s="35">
        <f>'APÊNDICE II-MEMÓRIA DE CÁLCULO'!L256</f>
        <v>20</v>
      </c>
      <c r="G255" s="63" t="s">
        <v>809</v>
      </c>
      <c r="H255" s="64">
        <v>1</v>
      </c>
      <c r="I255" s="67">
        <v>4.74</v>
      </c>
      <c r="J255" s="56" t="s">
        <v>31</v>
      </c>
      <c r="K255" s="55" t="s">
        <v>31</v>
      </c>
      <c r="L255" s="37" t="s">
        <v>31</v>
      </c>
      <c r="M255" s="63" t="s">
        <v>654</v>
      </c>
      <c r="N255" s="66">
        <v>1</v>
      </c>
      <c r="O255" s="67">
        <v>4</v>
      </c>
      <c r="P255" s="68" t="s">
        <v>793</v>
      </c>
      <c r="Q255" s="66">
        <v>1</v>
      </c>
      <c r="R255" s="67">
        <v>6</v>
      </c>
      <c r="S255" s="68" t="s">
        <v>729</v>
      </c>
      <c r="T255" s="66">
        <v>1</v>
      </c>
      <c r="U255" s="67">
        <v>6.9</v>
      </c>
      <c r="V255" s="37">
        <f t="shared" si="34"/>
        <v>1.1186152153444024</v>
      </c>
      <c r="W255" s="58">
        <f t="shared" si="35"/>
        <v>0.20676806198602632</v>
      </c>
      <c r="X255" s="23">
        <f>ROUND(SUM(I255*H255,O255*N255,R255*Q255,U255*T255,)/SUM(H255,N255,Q255,T255,),2)</f>
        <v>5.41</v>
      </c>
      <c r="Y255" s="38">
        <f t="shared" si="33"/>
        <v>108.2</v>
      </c>
      <c r="Z255" s="6">
        <f t="shared" si="37"/>
        <v>4.74</v>
      </c>
      <c r="AA255" s="5">
        <f t="shared" si="38"/>
        <v>5.41</v>
      </c>
      <c r="AB255" s="8">
        <f t="shared" si="39"/>
        <v>1.1186152153444024</v>
      </c>
      <c r="AC255" s="7">
        <f t="shared" si="40"/>
        <v>0.20676806198602632</v>
      </c>
      <c r="AD255" s="5"/>
      <c r="AE255" s="5"/>
    </row>
    <row r="256" spans="1:31" ht="111" customHeight="1" x14ac:dyDescent="0.3">
      <c r="A256" s="26">
        <v>252</v>
      </c>
      <c r="B256" s="32">
        <f>'APÊNDICE II-MEMÓRIA DE CÁLCULO'!B257</f>
        <v>16348</v>
      </c>
      <c r="C256" s="33" t="str">
        <f>'APÊNDICE II-MEMÓRIA DE CÁLCULO'!C257</f>
        <v>-</v>
      </c>
      <c r="D256" s="34" t="str">
        <f>'APÊNDICE II-MEMÓRIA DE CÁLCULO'!D257</f>
        <v>Tubo endotraqueal - tamanho: Nº 9,0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256" s="33" t="str">
        <f>'APÊNDICE II-MEMÓRIA DE CÁLCULO'!E257</f>
        <v>UNIDADE</v>
      </c>
      <c r="F256" s="35">
        <f>'APÊNDICE II-MEMÓRIA DE CÁLCULO'!L257</f>
        <v>20</v>
      </c>
      <c r="G256" s="63" t="s">
        <v>809</v>
      </c>
      <c r="H256" s="64">
        <v>1</v>
      </c>
      <c r="I256" s="67">
        <v>4.74</v>
      </c>
      <c r="J256" s="56" t="s">
        <v>31</v>
      </c>
      <c r="K256" s="55" t="s">
        <v>31</v>
      </c>
      <c r="L256" s="37" t="s">
        <v>31</v>
      </c>
      <c r="M256" s="63" t="s">
        <v>655</v>
      </c>
      <c r="N256" s="66">
        <v>1</v>
      </c>
      <c r="O256" s="67">
        <v>4</v>
      </c>
      <c r="P256" s="40" t="s">
        <v>31</v>
      </c>
      <c r="Q256" s="55" t="s">
        <v>31</v>
      </c>
      <c r="R256" s="37" t="s">
        <v>31</v>
      </c>
      <c r="S256" s="68" t="s">
        <v>793</v>
      </c>
      <c r="T256" s="66">
        <v>1</v>
      </c>
      <c r="U256" s="67">
        <v>6</v>
      </c>
      <c r="V256" s="37">
        <f t="shared" si="34"/>
        <v>0.82564452937622534</v>
      </c>
      <c r="W256" s="58">
        <f t="shared" si="35"/>
        <v>0.16804162741714221</v>
      </c>
      <c r="X256" s="23">
        <f>ROUND(SUM(I256*H256,O256*N256,U256*T256,)/SUM(H256,N256,T256,),2)</f>
        <v>4.91</v>
      </c>
      <c r="Y256" s="38">
        <f t="shared" si="33"/>
        <v>98.2</v>
      </c>
      <c r="Z256" s="6">
        <f t="shared" si="37"/>
        <v>4.37</v>
      </c>
      <c r="AA256" s="5">
        <f t="shared" si="38"/>
        <v>4.9133333333333331</v>
      </c>
      <c r="AB256" s="8">
        <f t="shared" si="39"/>
        <v>0.82564452937622534</v>
      </c>
      <c r="AC256" s="7">
        <f t="shared" si="40"/>
        <v>0.16804162741714221</v>
      </c>
      <c r="AD256" s="5"/>
      <c r="AE256" s="5"/>
    </row>
    <row r="257" spans="1:31" ht="111" customHeight="1" x14ac:dyDescent="0.3">
      <c r="A257" s="26">
        <v>253</v>
      </c>
      <c r="B257" s="32">
        <f>'APÊNDICE II-MEMÓRIA DE CÁLCULO'!B258</f>
        <v>12523</v>
      </c>
      <c r="C257" s="33">
        <f>'APÊNDICE II-MEMÓRIA DE CÁLCULO'!C258</f>
        <v>435905</v>
      </c>
      <c r="D257" s="34" t="str">
        <f>'APÊNDICE II-MEMÓRIA DE CÁLCULO'!D258</f>
        <v>Sonda nasogástrica curta - tamanho: Nº 04,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7" s="33" t="str">
        <f>'APÊNDICE II-MEMÓRIA DE CÁLCULO'!E258</f>
        <v>UNIDADE</v>
      </c>
      <c r="F257" s="35">
        <f>'APÊNDICE II-MEMÓRIA DE CÁLCULO'!L258</f>
        <v>20</v>
      </c>
      <c r="G257" s="63" t="s">
        <v>809</v>
      </c>
      <c r="H257" s="64">
        <v>3</v>
      </c>
      <c r="I257" s="67">
        <v>0.71</v>
      </c>
      <c r="J257" s="73" t="s">
        <v>810</v>
      </c>
      <c r="K257" s="66">
        <v>2</v>
      </c>
      <c r="L257" s="67">
        <v>0.69</v>
      </c>
      <c r="M257" s="63" t="s">
        <v>656</v>
      </c>
      <c r="N257" s="66">
        <v>1</v>
      </c>
      <c r="O257" s="67">
        <v>0.7</v>
      </c>
      <c r="P257" s="68" t="s">
        <v>794</v>
      </c>
      <c r="Q257" s="66">
        <v>1</v>
      </c>
      <c r="R257" s="67">
        <v>1</v>
      </c>
      <c r="S257" s="68" t="s">
        <v>349</v>
      </c>
      <c r="T257" s="66">
        <v>1</v>
      </c>
      <c r="U257" s="67">
        <v>0.9</v>
      </c>
      <c r="V257" s="37">
        <f t="shared" si="34"/>
        <v>0.12664912159190048</v>
      </c>
      <c r="W257" s="58">
        <f t="shared" si="35"/>
        <v>0.15831140198987559</v>
      </c>
      <c r="X257" s="23">
        <f>ROUND(SUM(I257*H257,L257*K257,O257*N257,R257*Q257,U257*T257,)/SUM(H257,K257,N257,Q257,T257,),2)</f>
        <v>0.76</v>
      </c>
      <c r="Y257" s="38">
        <f t="shared" si="33"/>
        <v>15.2</v>
      </c>
      <c r="Z257" s="6">
        <f t="shared" si="37"/>
        <v>0.70499999999999996</v>
      </c>
      <c r="AA257" s="5">
        <f t="shared" si="38"/>
        <v>0.8</v>
      </c>
      <c r="AB257" s="8">
        <f t="shared" si="39"/>
        <v>0.12664912159190048</v>
      </c>
      <c r="AC257" s="7">
        <f t="shared" si="40"/>
        <v>0.15831140198987559</v>
      </c>
      <c r="AD257" s="5"/>
      <c r="AE257" s="5"/>
    </row>
    <row r="258" spans="1:31" ht="111" customHeight="1" x14ac:dyDescent="0.3">
      <c r="A258" s="26">
        <v>254</v>
      </c>
      <c r="B258" s="32">
        <f>'APÊNDICE II-MEMÓRIA DE CÁLCULO'!B259</f>
        <v>12524</v>
      </c>
      <c r="C258" s="33">
        <f>'APÊNDICE II-MEMÓRIA DE CÁLCULO'!C259</f>
        <v>435903</v>
      </c>
      <c r="D258" s="34" t="str">
        <f>'APÊNDICE II-MEMÓRIA DE CÁLCULO'!D259</f>
        <v>Sonda nasogástrica curta - tamanho: Nº 06,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8" s="33" t="str">
        <f>'APÊNDICE II-MEMÓRIA DE CÁLCULO'!E259</f>
        <v>UNIDADE</v>
      </c>
      <c r="F258" s="35">
        <f>'APÊNDICE II-MEMÓRIA DE CÁLCULO'!L259</f>
        <v>20</v>
      </c>
      <c r="G258" s="63" t="s">
        <v>809</v>
      </c>
      <c r="H258" s="64">
        <v>1</v>
      </c>
      <c r="I258" s="67">
        <v>0.78</v>
      </c>
      <c r="J258" s="73" t="s">
        <v>810</v>
      </c>
      <c r="K258" s="66">
        <v>9</v>
      </c>
      <c r="L258" s="67">
        <v>0.71</v>
      </c>
      <c r="M258" s="63" t="s">
        <v>657</v>
      </c>
      <c r="N258" s="66">
        <v>1</v>
      </c>
      <c r="O258" s="67">
        <v>0.7</v>
      </c>
      <c r="P258" s="68" t="s">
        <v>794</v>
      </c>
      <c r="Q258" s="66">
        <v>1</v>
      </c>
      <c r="R258" s="67">
        <v>1.1000000000000001</v>
      </c>
      <c r="S258" s="68" t="s">
        <v>406</v>
      </c>
      <c r="T258" s="66">
        <v>1</v>
      </c>
      <c r="U258" s="67">
        <v>0.82</v>
      </c>
      <c r="V258" s="37">
        <f t="shared" si="34"/>
        <v>0.14593149077563844</v>
      </c>
      <c r="W258" s="58">
        <f t="shared" si="35"/>
        <v>0.17753222722097137</v>
      </c>
      <c r="X258" s="23">
        <f>ROUND(SUM(I258*H258,L258*K258,O258*N258,R258*Q258,U258*T258,)/SUM(H258,K258,N258,Q258,T258,),2)</f>
        <v>0.75</v>
      </c>
      <c r="Y258" s="38">
        <f t="shared" si="33"/>
        <v>15</v>
      </c>
      <c r="Z258" s="6">
        <f t="shared" si="37"/>
        <v>0.745</v>
      </c>
      <c r="AA258" s="5">
        <f t="shared" si="38"/>
        <v>0.82199999999999984</v>
      </c>
      <c r="AB258" s="8">
        <f t="shared" si="39"/>
        <v>0.14593149077563844</v>
      </c>
      <c r="AC258" s="7">
        <f t="shared" si="40"/>
        <v>0.17753222722097137</v>
      </c>
      <c r="AD258" s="5"/>
      <c r="AE258" s="5"/>
    </row>
    <row r="259" spans="1:31" ht="111" customHeight="1" x14ac:dyDescent="0.3">
      <c r="A259" s="26">
        <v>255</v>
      </c>
      <c r="B259" s="32">
        <f>'APÊNDICE II-MEMÓRIA DE CÁLCULO'!B260</f>
        <v>12525</v>
      </c>
      <c r="C259" s="33">
        <f>'APÊNDICE II-MEMÓRIA DE CÁLCULO'!C260</f>
        <v>437216</v>
      </c>
      <c r="D259" s="34" t="str">
        <f>'APÊNDICE II-MEMÓRIA DE CÁLCULO'!D260</f>
        <v>Sonda nasogástrica longa - tamanho: Nº 06,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59" s="33" t="str">
        <f>'APÊNDICE II-MEMÓRIA DE CÁLCULO'!E260</f>
        <v>UNIDADE</v>
      </c>
      <c r="F259" s="35">
        <f>'APÊNDICE II-MEMÓRIA DE CÁLCULO'!L260</f>
        <v>30</v>
      </c>
      <c r="G259" s="63" t="s">
        <v>809</v>
      </c>
      <c r="H259" s="64">
        <v>1</v>
      </c>
      <c r="I259" s="67">
        <v>0.73</v>
      </c>
      <c r="J259" s="73" t="s">
        <v>810</v>
      </c>
      <c r="K259" s="66">
        <v>9</v>
      </c>
      <c r="L259" s="67">
        <v>1.1399999999999999</v>
      </c>
      <c r="M259" s="63" t="s">
        <v>413</v>
      </c>
      <c r="N259" s="66">
        <v>1</v>
      </c>
      <c r="O259" s="67">
        <v>0.82</v>
      </c>
      <c r="P259" s="68" t="s">
        <v>406</v>
      </c>
      <c r="Q259" s="66">
        <v>1</v>
      </c>
      <c r="R259" s="67">
        <v>1.26</v>
      </c>
      <c r="S259" s="40" t="s">
        <v>31</v>
      </c>
      <c r="T259" s="117" t="s">
        <v>31</v>
      </c>
      <c r="U259" s="37" t="s">
        <v>31</v>
      </c>
      <c r="V259" s="37">
        <f t="shared" si="34"/>
        <v>0.21901769334919091</v>
      </c>
      <c r="W259" s="58">
        <f t="shared" si="35"/>
        <v>0.22179006921437058</v>
      </c>
      <c r="X259" s="23">
        <f>ROUND(SUM(I259*H259,L259*K259,O259*N259,R259*Q259,)/SUM(H259,K259,N259,Q259,),2)</f>
        <v>1.0900000000000001</v>
      </c>
      <c r="Y259" s="38">
        <f t="shared" si="33"/>
        <v>32.700000000000003</v>
      </c>
      <c r="Z259" s="6">
        <f t="shared" si="37"/>
        <v>0.82</v>
      </c>
      <c r="AA259" s="5">
        <f t="shared" si="38"/>
        <v>0.98749999999999982</v>
      </c>
      <c r="AB259" s="8">
        <f t="shared" si="39"/>
        <v>0.21901769334919091</v>
      </c>
      <c r="AC259" s="7">
        <f t="shared" si="40"/>
        <v>0.22179006921437058</v>
      </c>
      <c r="AD259" s="5"/>
      <c r="AE259" s="5"/>
    </row>
    <row r="260" spans="1:31" ht="111" customHeight="1" x14ac:dyDescent="0.3">
      <c r="A260" s="26">
        <v>256</v>
      </c>
      <c r="B260" s="32">
        <f>'APÊNDICE II-MEMÓRIA DE CÁLCULO'!B261</f>
        <v>12526</v>
      </c>
      <c r="C260" s="33">
        <f>'APÊNDICE II-MEMÓRIA DE CÁLCULO'!C261</f>
        <v>435904</v>
      </c>
      <c r="D260" s="34" t="str">
        <f>'APÊNDICE II-MEMÓRIA DE CÁLCULO'!D261</f>
        <v>Sonda nasogástrica curta - 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0" s="33" t="str">
        <f>'APÊNDICE II-MEMÓRIA DE CÁLCULO'!E261</f>
        <v>UNIDADE</v>
      </c>
      <c r="F260" s="35">
        <f>'APÊNDICE II-MEMÓRIA DE CÁLCULO'!L261</f>
        <v>20</v>
      </c>
      <c r="G260" s="63" t="s">
        <v>809</v>
      </c>
      <c r="H260" s="64">
        <v>4</v>
      </c>
      <c r="I260" s="67">
        <v>1.04</v>
      </c>
      <c r="J260" s="73" t="s">
        <v>810</v>
      </c>
      <c r="K260" s="66">
        <v>5</v>
      </c>
      <c r="L260" s="67">
        <v>0.83</v>
      </c>
      <c r="M260" s="63" t="s">
        <v>658</v>
      </c>
      <c r="N260" s="66">
        <v>1</v>
      </c>
      <c r="O260" s="67">
        <v>0.65</v>
      </c>
      <c r="P260" s="68" t="s">
        <v>406</v>
      </c>
      <c r="Q260" s="66">
        <v>1</v>
      </c>
      <c r="R260" s="67">
        <v>0.84</v>
      </c>
      <c r="S260" s="40" t="s">
        <v>31</v>
      </c>
      <c r="T260" s="55" t="s">
        <v>31</v>
      </c>
      <c r="U260" s="37" t="s">
        <v>31</v>
      </c>
      <c r="V260" s="37">
        <f t="shared" si="34"/>
        <v>0.13802173741842305</v>
      </c>
      <c r="W260" s="58">
        <f t="shared" si="35"/>
        <v>0.16431159216478936</v>
      </c>
      <c r="X260" s="23">
        <f>ROUND(SUM(I260*H260,L260*K260,O260*N260,R260*Q260,)/SUM(H260,K260,N260,Q260,),2)</f>
        <v>0.89</v>
      </c>
      <c r="Y260" s="38">
        <f t="shared" si="33"/>
        <v>17.8</v>
      </c>
      <c r="Z260" s="6">
        <f t="shared" si="37"/>
        <v>0.83</v>
      </c>
      <c r="AA260" s="5">
        <f t="shared" si="38"/>
        <v>0.84</v>
      </c>
      <c r="AB260" s="8">
        <f t="shared" si="39"/>
        <v>0.13802173741842305</v>
      </c>
      <c r="AC260" s="7">
        <f t="shared" si="40"/>
        <v>0.16431159216478936</v>
      </c>
      <c r="AD260" s="5"/>
      <c r="AE260" s="5"/>
    </row>
    <row r="261" spans="1:31" ht="111" customHeight="1" x14ac:dyDescent="0.3">
      <c r="A261" s="26">
        <v>257</v>
      </c>
      <c r="B261" s="32">
        <f>'APÊNDICE II-MEMÓRIA DE CÁLCULO'!B262</f>
        <v>12527</v>
      </c>
      <c r="C261" s="33">
        <f>'APÊNDICE II-MEMÓRIA DE CÁLCULO'!C262</f>
        <v>437217</v>
      </c>
      <c r="D261" s="34" t="str">
        <f>'APÊNDICE II-MEMÓRIA DE CÁLCULO'!D262</f>
        <v>Sonda nasogástrica longa - tamanho: Nº 08,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1" s="33" t="str">
        <f>'APÊNDICE II-MEMÓRIA DE CÁLCULO'!E262</f>
        <v>UNIDADE</v>
      </c>
      <c r="F261" s="35">
        <f>'APÊNDICE II-MEMÓRIA DE CÁLCULO'!L262</f>
        <v>20</v>
      </c>
      <c r="G261" s="63" t="s">
        <v>809</v>
      </c>
      <c r="H261" s="64">
        <v>1</v>
      </c>
      <c r="I261" s="67">
        <v>1.2</v>
      </c>
      <c r="J261" s="73" t="s">
        <v>810</v>
      </c>
      <c r="K261" s="66">
        <v>6</v>
      </c>
      <c r="L261" s="67">
        <v>0.99</v>
      </c>
      <c r="M261" s="63" t="s">
        <v>659</v>
      </c>
      <c r="N261" s="66">
        <v>1</v>
      </c>
      <c r="O261" s="67">
        <v>0.97</v>
      </c>
      <c r="P261" s="68" t="s">
        <v>794</v>
      </c>
      <c r="Q261" s="66">
        <v>1</v>
      </c>
      <c r="R261" s="67">
        <v>1.45</v>
      </c>
      <c r="S261" s="68" t="s">
        <v>406</v>
      </c>
      <c r="T261" s="66">
        <v>1</v>
      </c>
      <c r="U261" s="67">
        <v>0.78</v>
      </c>
      <c r="V261" s="37">
        <f t="shared" si="34"/>
        <v>0.22868318696397341</v>
      </c>
      <c r="W261" s="58">
        <f t="shared" si="35"/>
        <v>0.21213653707233154</v>
      </c>
      <c r="X261" s="23">
        <f t="shared" ref="X261:X269" si="43">ROUND(SUM(I261*H261,L261*K261,O261*N261,R261*Q261,U261*T261,)/SUM(H261,K261,N261,Q261,T261,),2)</f>
        <v>1.03</v>
      </c>
      <c r="Y261" s="38">
        <f t="shared" ref="Y261:Y315" si="44">X261*F261</f>
        <v>20.6</v>
      </c>
      <c r="Z261" s="6">
        <f t="shared" si="37"/>
        <v>0.98</v>
      </c>
      <c r="AA261" s="5">
        <f t="shared" si="38"/>
        <v>1.0780000000000001</v>
      </c>
      <c r="AB261" s="8">
        <f t="shared" si="39"/>
        <v>0.22868318696397341</v>
      </c>
      <c r="AC261" s="7">
        <f t="shared" si="40"/>
        <v>0.21213653707233154</v>
      </c>
      <c r="AD261" s="5"/>
      <c r="AE261" s="5"/>
    </row>
    <row r="262" spans="1:31" ht="111" customHeight="1" x14ac:dyDescent="0.3">
      <c r="A262" s="26">
        <v>258</v>
      </c>
      <c r="B262" s="32">
        <f>'APÊNDICE II-MEMÓRIA DE CÁLCULO'!B263</f>
        <v>12528</v>
      </c>
      <c r="C262" s="33">
        <f>'APÊNDICE II-MEMÓRIA DE CÁLCULO'!C263</f>
        <v>438396</v>
      </c>
      <c r="D262" s="34" t="str">
        <f>'APÊNDICE II-MEMÓRIA DE CÁLCULO'!D263</f>
        <v>Sonda nasogástrica curta - 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2" s="33" t="str">
        <f>'APÊNDICE II-MEMÓRIA DE CÁLCULO'!E263</f>
        <v>UNIDADE</v>
      </c>
      <c r="F262" s="35">
        <f>'APÊNDICE II-MEMÓRIA DE CÁLCULO'!L263</f>
        <v>20</v>
      </c>
      <c r="G262" s="63" t="s">
        <v>809</v>
      </c>
      <c r="H262" s="64">
        <v>4</v>
      </c>
      <c r="I262" s="67">
        <v>0.83</v>
      </c>
      <c r="J262" s="73" t="s">
        <v>810</v>
      </c>
      <c r="K262" s="66">
        <v>1</v>
      </c>
      <c r="L262" s="67">
        <v>0.94</v>
      </c>
      <c r="M262" s="63" t="s">
        <v>660</v>
      </c>
      <c r="N262" s="66">
        <v>1</v>
      </c>
      <c r="O262" s="67">
        <v>0.8</v>
      </c>
      <c r="P262" s="68" t="s">
        <v>794</v>
      </c>
      <c r="Q262" s="66">
        <v>1</v>
      </c>
      <c r="R262" s="67">
        <v>1.2</v>
      </c>
      <c r="S262" s="68" t="s">
        <v>762</v>
      </c>
      <c r="T262" s="66">
        <v>1</v>
      </c>
      <c r="U262" s="67">
        <v>0.9</v>
      </c>
      <c r="V262" s="37">
        <f t="shared" ref="V262:V315" si="45">AB262</f>
        <v>0.1419295599936817</v>
      </c>
      <c r="W262" s="58">
        <f t="shared" ref="W262:W315" si="46">AC262</f>
        <v>0.15195884367631876</v>
      </c>
      <c r="X262" s="23">
        <f t="shared" si="43"/>
        <v>0.9</v>
      </c>
      <c r="Y262" s="38">
        <f t="shared" si="44"/>
        <v>18</v>
      </c>
      <c r="Z262" s="6">
        <f t="shared" ref="Z262:Z315" si="47">MEDIAN(L262,I262,O262,R262,U262,)</f>
        <v>0.86499999999999999</v>
      </c>
      <c r="AA262" s="5">
        <f t="shared" ref="AA262:AA315" si="48">AVERAGE(I262,O262,R262,U262,L262)</f>
        <v>0.93399999999999994</v>
      </c>
      <c r="AB262" s="8">
        <f t="shared" ref="AB262:AB315" si="49">_xlfn.STDEV.P(I262,O262,R262,U262,L262)</f>
        <v>0.1419295599936817</v>
      </c>
      <c r="AC262" s="7">
        <f t="shared" ref="AC262:AC315" si="50">AB262/AA262</f>
        <v>0.15195884367631876</v>
      </c>
      <c r="AD262" s="5"/>
      <c r="AE262" s="5"/>
    </row>
    <row r="263" spans="1:31" ht="111" customHeight="1" x14ac:dyDescent="0.3">
      <c r="A263" s="26">
        <v>259</v>
      </c>
      <c r="B263" s="32">
        <f>'APÊNDICE II-MEMÓRIA DE CÁLCULO'!B264</f>
        <v>12529</v>
      </c>
      <c r="C263" s="33">
        <f>'APÊNDICE II-MEMÓRIA DE CÁLCULO'!C264</f>
        <v>435906</v>
      </c>
      <c r="D263" s="34" t="str">
        <f>'APÊNDICE II-MEMÓRIA DE CÁLCULO'!D264</f>
        <v>Sonda nasogástrica longa - tamanho: Nº 10,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3" s="33" t="str">
        <f>'APÊNDICE II-MEMÓRIA DE CÁLCULO'!E264</f>
        <v>UNIDADE</v>
      </c>
      <c r="F263" s="35">
        <f>'APÊNDICE II-MEMÓRIA DE CÁLCULO'!L264</f>
        <v>20</v>
      </c>
      <c r="G263" s="63" t="s">
        <v>809</v>
      </c>
      <c r="H263" s="64">
        <v>3</v>
      </c>
      <c r="I263" s="67">
        <v>1</v>
      </c>
      <c r="J263" s="73" t="s">
        <v>810</v>
      </c>
      <c r="K263" s="66">
        <v>1</v>
      </c>
      <c r="L263" s="67">
        <v>1.1499999999999999</v>
      </c>
      <c r="M263" s="63" t="s">
        <v>661</v>
      </c>
      <c r="N263" s="66">
        <v>1</v>
      </c>
      <c r="O263" s="67">
        <v>1</v>
      </c>
      <c r="P263" s="68" t="s">
        <v>406</v>
      </c>
      <c r="Q263" s="66">
        <v>1</v>
      </c>
      <c r="R263" s="67">
        <f>3*0.22</f>
        <v>0.66</v>
      </c>
      <c r="S263" s="68" t="s">
        <v>832</v>
      </c>
      <c r="T263" s="66">
        <v>1</v>
      </c>
      <c r="U263" s="67">
        <v>1.27</v>
      </c>
      <c r="V263" s="37">
        <f t="shared" si="45"/>
        <v>0.20480234373658882</v>
      </c>
      <c r="W263" s="58">
        <f t="shared" si="46"/>
        <v>0.20157710997695749</v>
      </c>
      <c r="X263" s="23">
        <f t="shared" si="43"/>
        <v>1.01</v>
      </c>
      <c r="Y263" s="38">
        <f t="shared" si="44"/>
        <v>20.2</v>
      </c>
      <c r="Z263" s="6">
        <f t="shared" si="47"/>
        <v>1</v>
      </c>
      <c r="AA263" s="5">
        <f t="shared" si="48"/>
        <v>1.016</v>
      </c>
      <c r="AB263" s="8">
        <f t="shared" si="49"/>
        <v>0.20480234373658882</v>
      </c>
      <c r="AC263" s="7">
        <f t="shared" si="50"/>
        <v>0.20157710997695749</v>
      </c>
      <c r="AD263" s="5"/>
      <c r="AE263" s="5"/>
    </row>
    <row r="264" spans="1:31" ht="111" customHeight="1" x14ac:dyDescent="0.3">
      <c r="A264" s="26">
        <v>260</v>
      </c>
      <c r="B264" s="32">
        <f>'APÊNDICE II-MEMÓRIA DE CÁLCULO'!B265</f>
        <v>12530</v>
      </c>
      <c r="C264" s="33">
        <f>'APÊNDICE II-MEMÓRIA DE CÁLCULO'!C265</f>
        <v>435907</v>
      </c>
      <c r="D264" s="34" t="str">
        <f>'APÊNDICE II-MEMÓRIA DE CÁLCULO'!D265</f>
        <v>Sonda nasogástrica longa -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4" s="33" t="str">
        <f>'APÊNDICE II-MEMÓRIA DE CÁLCULO'!E265</f>
        <v>UNIDADE</v>
      </c>
      <c r="F264" s="35">
        <f>'APÊNDICE II-MEMÓRIA DE CÁLCULO'!L265</f>
        <v>20</v>
      </c>
      <c r="G264" s="63" t="s">
        <v>809</v>
      </c>
      <c r="H264" s="64">
        <v>3</v>
      </c>
      <c r="I264" s="67">
        <v>1.52</v>
      </c>
      <c r="J264" s="73" t="s">
        <v>810</v>
      </c>
      <c r="K264" s="66">
        <v>10</v>
      </c>
      <c r="L264" s="67">
        <v>1.1200000000000001</v>
      </c>
      <c r="M264" s="63" t="s">
        <v>662</v>
      </c>
      <c r="N264" s="66">
        <v>1</v>
      </c>
      <c r="O264" s="67">
        <v>1.0900000000000001</v>
      </c>
      <c r="P264" s="68" t="s">
        <v>794</v>
      </c>
      <c r="Q264" s="66">
        <v>1</v>
      </c>
      <c r="R264" s="67">
        <v>1.9</v>
      </c>
      <c r="S264" s="68" t="s">
        <v>770</v>
      </c>
      <c r="T264" s="66">
        <v>1</v>
      </c>
      <c r="U264" s="67">
        <v>1.54</v>
      </c>
      <c r="V264" s="37">
        <f t="shared" si="45"/>
        <v>0.30090530071768451</v>
      </c>
      <c r="W264" s="58">
        <f t="shared" si="46"/>
        <v>0.20983633243911054</v>
      </c>
      <c r="X264" s="23">
        <f t="shared" si="43"/>
        <v>1.27</v>
      </c>
      <c r="Y264" s="38">
        <f t="shared" si="44"/>
        <v>25.4</v>
      </c>
      <c r="Z264" s="6">
        <f t="shared" si="47"/>
        <v>1.32</v>
      </c>
      <c r="AA264" s="5">
        <f t="shared" si="48"/>
        <v>1.4339999999999999</v>
      </c>
      <c r="AB264" s="8">
        <f t="shared" si="49"/>
        <v>0.30090530071768451</v>
      </c>
      <c r="AC264" s="7">
        <f t="shared" si="50"/>
        <v>0.20983633243911054</v>
      </c>
      <c r="AD264" s="5"/>
      <c r="AE264" s="5"/>
    </row>
    <row r="265" spans="1:31" ht="111" customHeight="1" x14ac:dyDescent="0.3">
      <c r="A265" s="26">
        <v>261</v>
      </c>
      <c r="B265" s="32">
        <f>'APÊNDICE II-MEMÓRIA DE CÁLCULO'!B266</f>
        <v>12531</v>
      </c>
      <c r="C265" s="33">
        <f>'APÊNDICE II-MEMÓRIA DE CÁLCULO'!C266</f>
        <v>435908</v>
      </c>
      <c r="D265" s="34" t="str">
        <f>'APÊNDICE II-MEMÓRIA DE CÁLCULO'!D266</f>
        <v>Sonda nasogástrica longa - 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5" s="33" t="str">
        <f>'APÊNDICE II-MEMÓRIA DE CÁLCULO'!E266</f>
        <v>UNIDADE</v>
      </c>
      <c r="F265" s="35">
        <f>'APÊNDICE II-MEMÓRIA DE CÁLCULO'!L266</f>
        <v>20</v>
      </c>
      <c r="G265" s="63" t="s">
        <v>809</v>
      </c>
      <c r="H265" s="64">
        <v>3</v>
      </c>
      <c r="I265" s="67">
        <v>1.64</v>
      </c>
      <c r="J265" s="73" t="s">
        <v>810</v>
      </c>
      <c r="K265" s="66">
        <v>6</v>
      </c>
      <c r="L265" s="67">
        <v>1.35</v>
      </c>
      <c r="M265" s="63" t="s">
        <v>663</v>
      </c>
      <c r="N265" s="66">
        <v>1</v>
      </c>
      <c r="O265" s="67">
        <v>1.3</v>
      </c>
      <c r="P265" s="68" t="s">
        <v>794</v>
      </c>
      <c r="Q265" s="66">
        <v>1</v>
      </c>
      <c r="R265" s="67">
        <v>2</v>
      </c>
      <c r="S265" s="68" t="s">
        <v>406</v>
      </c>
      <c r="T265" s="66">
        <v>1</v>
      </c>
      <c r="U265" s="67">
        <v>2.02</v>
      </c>
      <c r="V265" s="37">
        <f t="shared" si="45"/>
        <v>0.30701140043979058</v>
      </c>
      <c r="W265" s="58">
        <f t="shared" si="46"/>
        <v>0.18472406765330363</v>
      </c>
      <c r="X265" s="23">
        <f t="shared" si="43"/>
        <v>1.53</v>
      </c>
      <c r="Y265" s="38">
        <f t="shared" si="44"/>
        <v>30.6</v>
      </c>
      <c r="Z265" s="6">
        <f t="shared" si="47"/>
        <v>1.4950000000000001</v>
      </c>
      <c r="AA265" s="5">
        <f t="shared" si="48"/>
        <v>1.6619999999999997</v>
      </c>
      <c r="AB265" s="8">
        <f t="shared" si="49"/>
        <v>0.30701140043979058</v>
      </c>
      <c r="AC265" s="7">
        <f t="shared" si="50"/>
        <v>0.18472406765330363</v>
      </c>
      <c r="AD265" s="5"/>
      <c r="AE265" s="5"/>
    </row>
    <row r="266" spans="1:31" ht="111" customHeight="1" x14ac:dyDescent="0.3">
      <c r="A266" s="26">
        <v>262</v>
      </c>
      <c r="B266" s="32">
        <f>'APÊNDICE II-MEMÓRIA DE CÁLCULO'!B267</f>
        <v>12532</v>
      </c>
      <c r="C266" s="33">
        <f>'APÊNDICE II-MEMÓRIA DE CÁLCULO'!C267</f>
        <v>435909</v>
      </c>
      <c r="D266" s="34" t="str">
        <f>'APÊNDICE II-MEMÓRIA DE CÁLCULO'!D267</f>
        <v>Sonda nasogástrica longa - 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6" s="33" t="str">
        <f>'APÊNDICE II-MEMÓRIA DE CÁLCULO'!E267</f>
        <v>UNIDADE</v>
      </c>
      <c r="F266" s="35">
        <f>'APÊNDICE II-MEMÓRIA DE CÁLCULO'!L267</f>
        <v>20</v>
      </c>
      <c r="G266" s="63" t="s">
        <v>809</v>
      </c>
      <c r="H266" s="64">
        <v>5</v>
      </c>
      <c r="I266" s="67">
        <v>1.91</v>
      </c>
      <c r="J266" s="73" t="s">
        <v>810</v>
      </c>
      <c r="K266" s="66">
        <v>5</v>
      </c>
      <c r="L266" s="67">
        <v>1.62</v>
      </c>
      <c r="M266" s="63" t="s">
        <v>664</v>
      </c>
      <c r="N266" s="66">
        <v>1</v>
      </c>
      <c r="O266" s="67">
        <v>1.4</v>
      </c>
      <c r="P266" s="68" t="s">
        <v>794</v>
      </c>
      <c r="Q266" s="66">
        <v>1</v>
      </c>
      <c r="R266" s="67">
        <v>2.25</v>
      </c>
      <c r="S266" s="68" t="s">
        <v>340</v>
      </c>
      <c r="T266" s="66">
        <v>1</v>
      </c>
      <c r="U266" s="67">
        <v>2.6</v>
      </c>
      <c r="V266" s="37">
        <f t="shared" si="45"/>
        <v>0.43019065540757606</v>
      </c>
      <c r="W266" s="58">
        <f t="shared" si="46"/>
        <v>0.2199338729077587</v>
      </c>
      <c r="X266" s="23">
        <f t="shared" si="43"/>
        <v>1.84</v>
      </c>
      <c r="Y266" s="38">
        <f t="shared" si="44"/>
        <v>36.800000000000004</v>
      </c>
      <c r="Z266" s="6">
        <f t="shared" si="47"/>
        <v>1.7650000000000001</v>
      </c>
      <c r="AA266" s="5">
        <f t="shared" si="48"/>
        <v>1.9560000000000002</v>
      </c>
      <c r="AB266" s="8">
        <f t="shared" si="49"/>
        <v>0.43019065540757606</v>
      </c>
      <c r="AC266" s="7">
        <f t="shared" si="50"/>
        <v>0.2199338729077587</v>
      </c>
      <c r="AD266" s="5"/>
      <c r="AE266" s="5"/>
    </row>
    <row r="267" spans="1:31" ht="111" customHeight="1" x14ac:dyDescent="0.3">
      <c r="A267" s="26">
        <v>263</v>
      </c>
      <c r="B267" s="32">
        <f>'APÊNDICE II-MEMÓRIA DE CÁLCULO'!B268</f>
        <v>12533</v>
      </c>
      <c r="C267" s="33">
        <f>'APÊNDICE II-MEMÓRIA DE CÁLCULO'!C268</f>
        <v>435910</v>
      </c>
      <c r="D267" s="34" t="str">
        <f>'APÊNDICE II-MEMÓRIA DE CÁLCULO'!D268</f>
        <v>Sonda nasogástrica longa - 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7" s="33" t="str">
        <f>'APÊNDICE II-MEMÓRIA DE CÁLCULO'!E268</f>
        <v>UNIDADE</v>
      </c>
      <c r="F267" s="35">
        <f>'APÊNDICE II-MEMÓRIA DE CÁLCULO'!L268</f>
        <v>20</v>
      </c>
      <c r="G267" s="63" t="s">
        <v>809</v>
      </c>
      <c r="H267" s="64">
        <v>2</v>
      </c>
      <c r="I267" s="67">
        <v>1.75</v>
      </c>
      <c r="J267" s="73" t="s">
        <v>810</v>
      </c>
      <c r="K267" s="66">
        <v>4</v>
      </c>
      <c r="L267" s="67">
        <v>1.49</v>
      </c>
      <c r="M267" s="63" t="s">
        <v>665</v>
      </c>
      <c r="N267" s="66">
        <v>1</v>
      </c>
      <c r="O267" s="67">
        <v>1.6</v>
      </c>
      <c r="P267" s="68" t="s">
        <v>794</v>
      </c>
      <c r="Q267" s="66">
        <v>1</v>
      </c>
      <c r="R267" s="67">
        <v>2.15</v>
      </c>
      <c r="S267" s="68" t="s">
        <v>685</v>
      </c>
      <c r="T267" s="66">
        <v>1</v>
      </c>
      <c r="U267" s="67">
        <v>1.56</v>
      </c>
      <c r="V267" s="37">
        <f t="shared" si="45"/>
        <v>0.2358813260942888</v>
      </c>
      <c r="W267" s="58">
        <f t="shared" si="46"/>
        <v>0.13794229596157237</v>
      </c>
      <c r="X267" s="23">
        <f t="shared" si="43"/>
        <v>1.64</v>
      </c>
      <c r="Y267" s="38">
        <f t="shared" si="44"/>
        <v>32.799999999999997</v>
      </c>
      <c r="Z267" s="6">
        <f t="shared" si="47"/>
        <v>1.58</v>
      </c>
      <c r="AA267" s="5">
        <f t="shared" si="48"/>
        <v>1.7100000000000002</v>
      </c>
      <c r="AB267" s="8">
        <f t="shared" si="49"/>
        <v>0.2358813260942888</v>
      </c>
      <c r="AC267" s="7">
        <f t="shared" si="50"/>
        <v>0.13794229596157237</v>
      </c>
      <c r="AD267" s="5"/>
      <c r="AE267" s="5"/>
    </row>
    <row r="268" spans="1:31" ht="111" customHeight="1" x14ac:dyDescent="0.3">
      <c r="A268" s="26">
        <v>264</v>
      </c>
      <c r="B268" s="32">
        <f>'APÊNDICE II-MEMÓRIA DE CÁLCULO'!B269</f>
        <v>12534</v>
      </c>
      <c r="C268" s="33">
        <f>'APÊNDICE II-MEMÓRIA DE CÁLCULO'!C269</f>
        <v>435911</v>
      </c>
      <c r="D268" s="34" t="str">
        <f>'APÊNDICE II-MEMÓRIA DE CÁLCULO'!D269</f>
        <v>Sonda nasogástrica longa - tamanho: Nº 20,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8" s="33" t="str">
        <f>'APÊNDICE II-MEMÓRIA DE CÁLCULO'!E269</f>
        <v>UNIDADE</v>
      </c>
      <c r="F268" s="35">
        <f>'APÊNDICE II-MEMÓRIA DE CÁLCULO'!L269</f>
        <v>20</v>
      </c>
      <c r="G268" s="63" t="s">
        <v>809</v>
      </c>
      <c r="H268" s="64">
        <v>8</v>
      </c>
      <c r="I268" s="67">
        <v>1.47</v>
      </c>
      <c r="J268" s="73" t="s">
        <v>810</v>
      </c>
      <c r="K268" s="66">
        <v>7</v>
      </c>
      <c r="L268" s="67">
        <v>2.74</v>
      </c>
      <c r="M268" s="63" t="s">
        <v>666</v>
      </c>
      <c r="N268" s="66">
        <v>1</v>
      </c>
      <c r="O268" s="67">
        <v>1.8</v>
      </c>
      <c r="P268" s="68" t="s">
        <v>794</v>
      </c>
      <c r="Q268" s="66">
        <v>1</v>
      </c>
      <c r="R268" s="67">
        <v>2.75</v>
      </c>
      <c r="S268" s="68" t="s">
        <v>406</v>
      </c>
      <c r="T268" s="66">
        <v>1</v>
      </c>
      <c r="U268" s="67">
        <v>2</v>
      </c>
      <c r="V268" s="37">
        <f t="shared" si="45"/>
        <v>0.512928844967799</v>
      </c>
      <c r="W268" s="58">
        <f t="shared" si="46"/>
        <v>0.23834983502221141</v>
      </c>
      <c r="X268" s="23">
        <f t="shared" si="43"/>
        <v>2.08</v>
      </c>
      <c r="Y268" s="38">
        <f t="shared" si="44"/>
        <v>41.6</v>
      </c>
      <c r="Z268" s="6">
        <f t="shared" si="47"/>
        <v>1.9</v>
      </c>
      <c r="AA268" s="5">
        <f t="shared" si="48"/>
        <v>2.1520000000000001</v>
      </c>
      <c r="AB268" s="8">
        <f t="shared" si="49"/>
        <v>0.512928844967799</v>
      </c>
      <c r="AC268" s="7">
        <f t="shared" si="50"/>
        <v>0.23834983502221141</v>
      </c>
      <c r="AD268" s="5"/>
      <c r="AE268" s="5"/>
    </row>
    <row r="269" spans="1:31" ht="111" customHeight="1" x14ac:dyDescent="0.3">
      <c r="A269" s="26">
        <v>265</v>
      </c>
      <c r="B269" s="32">
        <f>'APÊNDICE II-MEMÓRIA DE CÁLCULO'!B270</f>
        <v>12535</v>
      </c>
      <c r="C269" s="33">
        <f>'APÊNDICE II-MEMÓRIA DE CÁLCULO'!C270</f>
        <v>435912</v>
      </c>
      <c r="D269" s="34" t="str">
        <f>'APÊNDICE II-MEMÓRIA DE CÁLCULO'!D270</f>
        <v>Sonda nasogástrica longa - 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269" s="33" t="str">
        <f>'APÊNDICE II-MEMÓRIA DE CÁLCULO'!E270</f>
        <v>UNIDADE</v>
      </c>
      <c r="F269" s="35">
        <f>'APÊNDICE II-MEMÓRIA DE CÁLCULO'!L270</f>
        <v>20</v>
      </c>
      <c r="G269" s="63" t="s">
        <v>809</v>
      </c>
      <c r="H269" s="64">
        <v>6</v>
      </c>
      <c r="I269" s="67">
        <v>2.2799999999999998</v>
      </c>
      <c r="J269" s="73" t="s">
        <v>810</v>
      </c>
      <c r="K269" s="66">
        <v>2</v>
      </c>
      <c r="L269" s="67">
        <v>1.7</v>
      </c>
      <c r="M269" s="63" t="s">
        <v>667</v>
      </c>
      <c r="N269" s="66">
        <v>1</v>
      </c>
      <c r="O269" s="67">
        <v>1.7</v>
      </c>
      <c r="P269" s="68" t="s">
        <v>794</v>
      </c>
      <c r="Q269" s="66">
        <v>1</v>
      </c>
      <c r="R269" s="67">
        <v>2.5499999999999998</v>
      </c>
      <c r="S269" s="68" t="s">
        <v>406</v>
      </c>
      <c r="T269" s="66">
        <v>1</v>
      </c>
      <c r="U269" s="67">
        <v>2.92</v>
      </c>
      <c r="V269" s="37">
        <f t="shared" si="45"/>
        <v>0.47807949129825794</v>
      </c>
      <c r="W269" s="58">
        <f t="shared" si="46"/>
        <v>0.21438542210684217</v>
      </c>
      <c r="X269" s="23">
        <f t="shared" si="43"/>
        <v>2.2000000000000002</v>
      </c>
      <c r="Y269" s="38">
        <f t="shared" si="44"/>
        <v>44</v>
      </c>
      <c r="Z269" s="6">
        <f t="shared" si="47"/>
        <v>1.9899999999999998</v>
      </c>
      <c r="AA269" s="5">
        <f t="shared" si="48"/>
        <v>2.2299999999999995</v>
      </c>
      <c r="AB269" s="8">
        <f t="shared" si="49"/>
        <v>0.47807949129825794</v>
      </c>
      <c r="AC269" s="7">
        <f t="shared" si="50"/>
        <v>0.21438542210684217</v>
      </c>
      <c r="AD269" s="5"/>
      <c r="AE269" s="5"/>
    </row>
    <row r="270" spans="1:31" ht="156.75" customHeight="1" x14ac:dyDescent="0.3">
      <c r="A270" s="26">
        <v>266</v>
      </c>
      <c r="B270" s="32">
        <f>'APÊNDICE II-MEMÓRIA DE CÁLCULO'!B271</f>
        <v>12536</v>
      </c>
      <c r="C270" s="33">
        <f>'APÊNDICE II-MEMÓRIA DE CÁLCULO'!C271</f>
        <v>436013</v>
      </c>
      <c r="D270" s="34" t="str">
        <f>'APÊNDICE II-MEMÓRIA DE CÁLCULO'!D271</f>
        <v>Sonda para alimentação enteral (nesoenteral) - calibre: 12G, material: poliuretano, caracterísiticas adicionais: com guia, bio-compatível, macia e flexível, radiopaca, com marcas de medida em toda a sua extensão, duas aberturas opostas na ogiva, mandril flexível em aço inoxidável, conexão universal estéril. Embalagem individual em papel grau cirúrgico e/ou filme termoplástico, com abertura em pétala, com dados de identificação e procedência, data e tipo de esterilização, prazo de validade e registro em órgão competente</v>
      </c>
      <c r="E270" s="33" t="str">
        <f>'APÊNDICE II-MEMÓRIA DE CÁLCULO'!E271</f>
        <v>UNIDADE</v>
      </c>
      <c r="F270" s="35">
        <f>'APÊNDICE II-MEMÓRIA DE CÁLCULO'!L271</f>
        <v>100</v>
      </c>
      <c r="G270" s="63" t="s">
        <v>809</v>
      </c>
      <c r="H270" s="64">
        <v>10</v>
      </c>
      <c r="I270" s="67">
        <v>10.119999999999999</v>
      </c>
      <c r="J270" s="56" t="s">
        <v>31</v>
      </c>
      <c r="K270" s="55" t="s">
        <v>31</v>
      </c>
      <c r="L270" s="37" t="s">
        <v>31</v>
      </c>
      <c r="M270" s="63" t="s">
        <v>477</v>
      </c>
      <c r="N270" s="66">
        <v>1</v>
      </c>
      <c r="O270" s="67">
        <v>18.829999999999998</v>
      </c>
      <c r="P270" s="68" t="s">
        <v>790</v>
      </c>
      <c r="Q270" s="66">
        <v>1</v>
      </c>
      <c r="R270" s="67">
        <v>19.899999999999999</v>
      </c>
      <c r="S270" s="68" t="s">
        <v>767</v>
      </c>
      <c r="T270" s="66">
        <v>1</v>
      </c>
      <c r="U270" s="67">
        <v>19.38</v>
      </c>
      <c r="V270" s="37">
        <f t="shared" si="45"/>
        <v>4.0231975777980438</v>
      </c>
      <c r="W270" s="58">
        <f t="shared" si="46"/>
        <v>0.23586091618338234</v>
      </c>
      <c r="X270" s="23">
        <f>ROUND(SUM(I270*H270,O270*N270,R270*Q270,U270*T270,)/SUM(H270,N270,Q270,T270,),2)</f>
        <v>12.25</v>
      </c>
      <c r="Y270" s="38">
        <f t="shared" si="44"/>
        <v>1225</v>
      </c>
      <c r="Z270" s="6">
        <f t="shared" si="47"/>
        <v>18.829999999999998</v>
      </c>
      <c r="AA270" s="5">
        <f t="shared" si="48"/>
        <v>17.057499999999997</v>
      </c>
      <c r="AB270" s="8">
        <f t="shared" si="49"/>
        <v>4.0231975777980438</v>
      </c>
      <c r="AC270" s="7">
        <f t="shared" si="50"/>
        <v>0.23586091618338234</v>
      </c>
      <c r="AD270" s="5"/>
      <c r="AE270" s="5"/>
    </row>
    <row r="271" spans="1:31" ht="156.75" customHeight="1" x14ac:dyDescent="0.3">
      <c r="A271" s="26">
        <v>267</v>
      </c>
      <c r="B271" s="32">
        <f>'APÊNDICE II-MEMÓRIA DE CÁLCULO'!B272</f>
        <v>12537</v>
      </c>
      <c r="C271" s="33">
        <f>'APÊNDICE II-MEMÓRIA DE CÁLCULO'!C272</f>
        <v>436838</v>
      </c>
      <c r="D271" s="34" t="str">
        <f>'APÊNDICE II-MEMÓRIA DE CÁLCULO'!D272</f>
        <v>Saco de polietileno transparente - STAND-UP (fica em pé), estéril ( certificado), descartável, aprovado pela USEPA e standard methods. Utilizado para coleta de amostras de água. Cada saco contém 1 comprimido de 10mg de tiosulfato de sódio. Volume do saco 100mL, medidas aproximadas: 25x17cm. Prazo de validade 60 meses contados da data de fabricação. A temperatura de armazenamento recomendada é entre 10 e 25oC..Embalagem plástica individual, constando os dados de identificação, procedência e rastreabilidade.</v>
      </c>
      <c r="E271" s="33" t="str">
        <f>'APÊNDICE II-MEMÓRIA DE CÁLCULO'!E272</f>
        <v>UNIDADE</v>
      </c>
      <c r="F271" s="35">
        <f>'APÊNDICE II-MEMÓRIA DE CÁLCULO'!L272</f>
        <v>5000</v>
      </c>
      <c r="G271" s="25" t="s">
        <v>31</v>
      </c>
      <c r="H271" s="54" t="s">
        <v>31</v>
      </c>
      <c r="I271" s="37" t="s">
        <v>31</v>
      </c>
      <c r="J271" s="73" t="s">
        <v>810</v>
      </c>
      <c r="K271" s="66">
        <v>1</v>
      </c>
      <c r="L271" s="67">
        <v>2.39</v>
      </c>
      <c r="M271" s="63" t="s">
        <v>478</v>
      </c>
      <c r="N271" s="66">
        <v>1</v>
      </c>
      <c r="O271" s="67">
        <v>1.48</v>
      </c>
      <c r="P271" s="68" t="s">
        <v>795</v>
      </c>
      <c r="Q271" s="66">
        <v>1</v>
      </c>
      <c r="R271" s="67">
        <f>365.28/100</f>
        <v>3.6527999999999996</v>
      </c>
      <c r="S271" s="40" t="s">
        <v>31</v>
      </c>
      <c r="T271" s="55" t="s">
        <v>31</v>
      </c>
      <c r="U271" s="37" t="s">
        <v>31</v>
      </c>
      <c r="V271" s="37">
        <f t="shared" si="45"/>
        <v>0.8909310785165514</v>
      </c>
      <c r="W271" s="58">
        <f t="shared" si="46"/>
        <v>0.3552923426848586</v>
      </c>
      <c r="X271" s="23">
        <f>ROUND(SUM(L271*K271,O271*N271,R271*Q271,)/SUM(K271,N271,Q271,),2)</f>
        <v>2.5099999999999998</v>
      </c>
      <c r="Y271" s="38">
        <f t="shared" si="44"/>
        <v>12549.999999999998</v>
      </c>
      <c r="Z271" s="6">
        <f t="shared" si="47"/>
        <v>1.9350000000000001</v>
      </c>
      <c r="AA271" s="5">
        <f t="shared" si="48"/>
        <v>2.5076000000000001</v>
      </c>
      <c r="AB271" s="8">
        <f t="shared" si="49"/>
        <v>0.8909310785165514</v>
      </c>
      <c r="AC271" s="7">
        <f t="shared" si="50"/>
        <v>0.3552923426848586</v>
      </c>
      <c r="AD271" s="5"/>
      <c r="AE271" s="5"/>
    </row>
    <row r="272" spans="1:31" ht="156.75" customHeight="1" x14ac:dyDescent="0.3">
      <c r="A272" s="26">
        <v>268</v>
      </c>
      <c r="B272" s="32">
        <f>'APÊNDICE II-MEMÓRIA DE CÁLCULO'!B273</f>
        <v>12539</v>
      </c>
      <c r="C272" s="33">
        <f>'APÊNDICE II-MEMÓRIA DE CÁLCULO'!C273</f>
        <v>436004</v>
      </c>
      <c r="D272" s="34" t="str">
        <f>'APÊNDICE II-MEMÓRIA DE CÁLCULO'!D273</f>
        <v>Sonda trato urinário - modelo: Foley, calibre: Nº 22,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2" s="33" t="str">
        <f>'APÊNDICE II-MEMÓRIA DE CÁLCULO'!E273</f>
        <v>UNIDADE</v>
      </c>
      <c r="F272" s="35">
        <f>'APÊNDICE II-MEMÓRIA DE CÁLCULO'!L273</f>
        <v>10</v>
      </c>
      <c r="G272" s="63" t="s">
        <v>809</v>
      </c>
      <c r="H272" s="64">
        <v>4</v>
      </c>
      <c r="I272" s="67">
        <f>64.74/10</f>
        <v>6.4739999999999993</v>
      </c>
      <c r="J272" s="73" t="s">
        <v>810</v>
      </c>
      <c r="K272" s="66">
        <v>4</v>
      </c>
      <c r="L272" s="67">
        <v>4.29</v>
      </c>
      <c r="M272" s="63" t="s">
        <v>668</v>
      </c>
      <c r="N272" s="66">
        <v>1</v>
      </c>
      <c r="O272" s="67">
        <v>5</v>
      </c>
      <c r="P272" s="68" t="s">
        <v>406</v>
      </c>
      <c r="Q272" s="66">
        <v>1</v>
      </c>
      <c r="R272" s="67">
        <v>5.58</v>
      </c>
      <c r="S272" s="68" t="s">
        <v>771</v>
      </c>
      <c r="T272" s="66">
        <v>1</v>
      </c>
      <c r="U272" s="67">
        <v>6.19</v>
      </c>
      <c r="V272" s="37">
        <f t="shared" si="45"/>
        <v>0.79310085109019524</v>
      </c>
      <c r="W272" s="58">
        <f t="shared" si="46"/>
        <v>0.14402209106744301</v>
      </c>
      <c r="X272" s="23">
        <f>ROUND(SUM(I272*H272,L272*K272,O272*N272,R272*Q272,U272*T272,)/SUM(H272,K272,N272,Q272,T272,),2)</f>
        <v>5.44</v>
      </c>
      <c r="Y272" s="38">
        <f t="shared" si="44"/>
        <v>54.400000000000006</v>
      </c>
      <c r="Z272" s="6">
        <f t="shared" si="47"/>
        <v>5.29</v>
      </c>
      <c r="AA272" s="5">
        <f t="shared" si="48"/>
        <v>5.5068000000000001</v>
      </c>
      <c r="AB272" s="8">
        <f t="shared" si="49"/>
        <v>0.79310085109019524</v>
      </c>
      <c r="AC272" s="7">
        <f t="shared" si="50"/>
        <v>0.14402209106744301</v>
      </c>
      <c r="AD272" s="5"/>
      <c r="AE272" s="5"/>
    </row>
    <row r="273" spans="1:31" ht="156.75" customHeight="1" x14ac:dyDescent="0.3">
      <c r="A273" s="26">
        <v>269</v>
      </c>
      <c r="B273" s="32">
        <f>'APÊNDICE II-MEMÓRIA DE CÁLCULO'!B274</f>
        <v>12538</v>
      </c>
      <c r="C273" s="33">
        <f>'APÊNDICE II-MEMÓRIA DE CÁLCULO'!C274</f>
        <v>436838</v>
      </c>
      <c r="D273" s="34" t="str">
        <f>'APÊNDICE II-MEMÓRIA DE CÁLCULO'!D274</f>
        <v>Sonda trato urinário - modelo: Foley, calibre: Nº 20,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3" s="33" t="str">
        <f>'APÊNDICE II-MEMÓRIA DE CÁLCULO'!E274</f>
        <v>UNIDADE</v>
      </c>
      <c r="F273" s="35">
        <f>'APÊNDICE II-MEMÓRIA DE CÁLCULO'!L274</f>
        <v>10</v>
      </c>
      <c r="G273" s="63" t="s">
        <v>809</v>
      </c>
      <c r="H273" s="64">
        <v>1</v>
      </c>
      <c r="I273" s="67">
        <v>3.08</v>
      </c>
      <c r="J273" s="73" t="s">
        <v>810</v>
      </c>
      <c r="K273" s="66">
        <v>26</v>
      </c>
      <c r="L273" s="67">
        <v>5.26</v>
      </c>
      <c r="M273" s="63" t="s">
        <v>669</v>
      </c>
      <c r="N273" s="66">
        <v>1</v>
      </c>
      <c r="O273" s="67">
        <v>5</v>
      </c>
      <c r="P273" s="40" t="s">
        <v>31</v>
      </c>
      <c r="Q273" s="55" t="s">
        <v>31</v>
      </c>
      <c r="R273" s="37" t="s">
        <v>31</v>
      </c>
      <c r="S273" s="40" t="s">
        <v>31</v>
      </c>
      <c r="T273" s="55" t="s">
        <v>31</v>
      </c>
      <c r="U273" s="37" t="s">
        <v>31</v>
      </c>
      <c r="V273" s="37">
        <f t="shared" si="45"/>
        <v>0.97219111061331653</v>
      </c>
      <c r="W273" s="58">
        <f t="shared" si="46"/>
        <v>0.21863368304647299</v>
      </c>
      <c r="X273" s="23">
        <f>ROUND(SUM(I273*H273,L273*K273,O273*N273,)/SUM(H273,K273,N273,),2)</f>
        <v>5.17</v>
      </c>
      <c r="Y273" s="38">
        <f t="shared" si="44"/>
        <v>51.7</v>
      </c>
      <c r="Z273" s="6">
        <f t="shared" si="47"/>
        <v>4.04</v>
      </c>
      <c r="AA273" s="5">
        <f t="shared" si="48"/>
        <v>4.4466666666666663</v>
      </c>
      <c r="AB273" s="8">
        <f t="shared" si="49"/>
        <v>0.97219111061331653</v>
      </c>
      <c r="AC273" s="7">
        <f t="shared" si="50"/>
        <v>0.21863368304647299</v>
      </c>
      <c r="AD273" s="5"/>
      <c r="AE273" s="5"/>
    </row>
    <row r="274" spans="1:31" ht="156.75" customHeight="1" x14ac:dyDescent="0.3">
      <c r="A274" s="26">
        <v>270</v>
      </c>
      <c r="B274" s="32">
        <f>'APÊNDICE II-MEMÓRIA DE CÁLCULO'!B275</f>
        <v>12540</v>
      </c>
      <c r="C274" s="33">
        <f>'APÊNDICE II-MEMÓRIA DE CÁLCULO'!C275</f>
        <v>436012</v>
      </c>
      <c r="D274" s="34" t="str">
        <f>'APÊNDICE II-MEMÓRIA DE CÁLCULO'!D275</f>
        <v>Sonda trato urinário - modelo: Foley, calibre: Nº 18,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4" s="33" t="str">
        <f>'APÊNDICE II-MEMÓRIA DE CÁLCULO'!E275</f>
        <v>UNIDADE</v>
      </c>
      <c r="F274" s="35">
        <f>'APÊNDICE II-MEMÓRIA DE CÁLCULO'!L275</f>
        <v>10</v>
      </c>
      <c r="G274" s="63" t="s">
        <v>809</v>
      </c>
      <c r="H274" s="64">
        <v>14</v>
      </c>
      <c r="I274" s="67">
        <v>4.17</v>
      </c>
      <c r="J274" s="73" t="s">
        <v>810</v>
      </c>
      <c r="K274" s="66">
        <v>5</v>
      </c>
      <c r="L274" s="67">
        <v>3.02</v>
      </c>
      <c r="M274" s="63" t="s">
        <v>670</v>
      </c>
      <c r="N274" s="66">
        <v>1</v>
      </c>
      <c r="O274" s="67">
        <v>5</v>
      </c>
      <c r="P274" s="40" t="s">
        <v>31</v>
      </c>
      <c r="Q274" s="55" t="s">
        <v>31</v>
      </c>
      <c r="R274" s="37" t="s">
        <v>31</v>
      </c>
      <c r="S274" s="40" t="s">
        <v>31</v>
      </c>
      <c r="T274" s="55" t="s">
        <v>31</v>
      </c>
      <c r="U274" s="37" t="s">
        <v>31</v>
      </c>
      <c r="V274" s="37">
        <f t="shared" si="45"/>
        <v>0.81184289667945608</v>
      </c>
      <c r="W274" s="58">
        <f t="shared" si="46"/>
        <v>0.19979726743546908</v>
      </c>
      <c r="X274" s="23">
        <f>ROUND(SUM(I274*H274,L274*K274,O274*N274,)/SUM(H274,K274,N274,),2)</f>
        <v>3.92</v>
      </c>
      <c r="Y274" s="38">
        <f t="shared" si="44"/>
        <v>39.200000000000003</v>
      </c>
      <c r="Z274" s="6">
        <f t="shared" si="47"/>
        <v>3.5949999999999998</v>
      </c>
      <c r="AA274" s="5">
        <f t="shared" si="48"/>
        <v>4.0633333333333335</v>
      </c>
      <c r="AB274" s="8">
        <f t="shared" si="49"/>
        <v>0.81184289667945608</v>
      </c>
      <c r="AC274" s="7">
        <f t="shared" si="50"/>
        <v>0.19979726743546908</v>
      </c>
      <c r="AD274" s="5"/>
      <c r="AE274" s="5"/>
    </row>
    <row r="275" spans="1:31" ht="156.75" customHeight="1" x14ac:dyDescent="0.3">
      <c r="A275" s="26">
        <v>271</v>
      </c>
      <c r="B275" s="32">
        <f>'APÊNDICE II-MEMÓRIA DE CÁLCULO'!B276</f>
        <v>12541</v>
      </c>
      <c r="C275" s="33">
        <f>'APÊNDICE II-MEMÓRIA DE CÁLCULO'!C276</f>
        <v>457480</v>
      </c>
      <c r="D275" s="34" t="str">
        <f>'APÊNDICE II-MEMÓRIA DE CÁLCULO'!D276</f>
        <v>Sonda trato urinário - modelo: Foley, calibre: Nº 16, vias: três vias, com balão 30cc, material: borracha natural, de formato adequado, esterilidade: estéril, descartável, características adicionais: siliconizada, com anti-incrustante, ponta proximal arredondada, com dois orifícios grandes, arredondados e lisos, número da sonda e a capacidade do balão deverão estar estampados em local visível e permanente, embalagem individual de papel grau cirúrgico e/ou filme termoplástico, contendo dados de identificação e procedência, data e tipo de esterilização, prazo de validade e registro em órgão competente.</v>
      </c>
      <c r="E275" s="33" t="str">
        <f>'APÊNDICE II-MEMÓRIA DE CÁLCULO'!E276</f>
        <v>UNIDADE</v>
      </c>
      <c r="F275" s="35">
        <f>'APÊNDICE II-MEMÓRIA DE CÁLCULO'!L276</f>
        <v>10</v>
      </c>
      <c r="G275" s="63" t="s">
        <v>809</v>
      </c>
      <c r="H275" s="64">
        <v>1</v>
      </c>
      <c r="I275" s="67">
        <v>3.08</v>
      </c>
      <c r="J275" s="73" t="s">
        <v>810</v>
      </c>
      <c r="K275" s="66">
        <v>26</v>
      </c>
      <c r="L275" s="67">
        <v>3.49</v>
      </c>
      <c r="M275" s="63" t="s">
        <v>671</v>
      </c>
      <c r="N275" s="66">
        <v>1</v>
      </c>
      <c r="O275" s="67">
        <v>4</v>
      </c>
      <c r="P275" s="40" t="s">
        <v>31</v>
      </c>
      <c r="Q275" s="55" t="s">
        <v>31</v>
      </c>
      <c r="R275" s="37" t="s">
        <v>31</v>
      </c>
      <c r="S275" s="40" t="s">
        <v>31</v>
      </c>
      <c r="T275" s="55" t="s">
        <v>31</v>
      </c>
      <c r="U275" s="37" t="s">
        <v>31</v>
      </c>
      <c r="V275" s="37">
        <f t="shared" si="45"/>
        <v>0.37632728073077742</v>
      </c>
      <c r="W275" s="58">
        <f t="shared" si="46"/>
        <v>0.10681001345244392</v>
      </c>
      <c r="X275" s="23">
        <f>ROUND(SUM(I275*H275,L275*K275,O275*N275,)/SUM(H275,K275,N275,),2)</f>
        <v>3.49</v>
      </c>
      <c r="Y275" s="38">
        <f t="shared" si="44"/>
        <v>34.900000000000006</v>
      </c>
      <c r="Z275" s="6">
        <f t="shared" si="47"/>
        <v>3.2850000000000001</v>
      </c>
      <c r="AA275" s="5">
        <f t="shared" si="48"/>
        <v>3.5233333333333334</v>
      </c>
      <c r="AB275" s="8">
        <f t="shared" si="49"/>
        <v>0.37632728073077742</v>
      </c>
      <c r="AC275" s="7">
        <f t="shared" si="50"/>
        <v>0.10681001345244392</v>
      </c>
      <c r="AD275" s="5"/>
      <c r="AE275" s="5"/>
    </row>
    <row r="276" spans="1:31" ht="111" customHeight="1" x14ac:dyDescent="0.3">
      <c r="A276" s="26">
        <v>272</v>
      </c>
      <c r="B276" s="32">
        <f>'APÊNDICE II-MEMÓRIA DE CÁLCULO'!B277</f>
        <v>12542</v>
      </c>
      <c r="C276" s="33">
        <f>'APÊNDICE II-MEMÓRIA DE CÁLCULO'!C277</f>
        <v>459110</v>
      </c>
      <c r="D276" s="34" t="str">
        <f>'APÊNDICE II-MEMÓRIA DE CÁLCULO'!D277</f>
        <v>Touca hospitalar - tipo uso: descartável, material: não tecido 100% polipropileno, tamanho: único, gramatura: cerca de 30 G/M2, características adicionais: micro perfurada, atóxica, inodora, unissex, hipoalergênica, com elástico em toda sua extensão. Embalagem contendo externamente dados de identificação e procedência.</v>
      </c>
      <c r="E276" s="33" t="str">
        <f>'APÊNDICE II-MEMÓRIA DE CÁLCULO'!E277</f>
        <v>UNIDADE</v>
      </c>
      <c r="F276" s="35">
        <f>'APÊNDICE II-MEMÓRIA DE CÁLCULO'!L277</f>
        <v>20600</v>
      </c>
      <c r="G276" s="63" t="s">
        <v>809</v>
      </c>
      <c r="H276" s="64">
        <v>4</v>
      </c>
      <c r="I276" s="67">
        <v>0.08</v>
      </c>
      <c r="J276" s="56" t="s">
        <v>31</v>
      </c>
      <c r="K276" s="55" t="s">
        <v>31</v>
      </c>
      <c r="L276" s="37" t="s">
        <v>31</v>
      </c>
      <c r="M276" s="63" t="s">
        <v>618</v>
      </c>
      <c r="N276" s="66">
        <v>1</v>
      </c>
      <c r="O276" s="67">
        <v>7.0000000000000007E-2</v>
      </c>
      <c r="P276" s="68" t="s">
        <v>365</v>
      </c>
      <c r="Q276" s="66">
        <v>1</v>
      </c>
      <c r="R276" s="67">
        <f>11.1/100</f>
        <v>0.111</v>
      </c>
      <c r="S276" s="68" t="s">
        <v>391</v>
      </c>
      <c r="T276" s="66">
        <v>1</v>
      </c>
      <c r="U276" s="67">
        <f>7.99/100</f>
        <v>7.9899999999999999E-2</v>
      </c>
      <c r="V276" s="37">
        <f t="shared" si="45"/>
        <v>1.5425688801476626E-2</v>
      </c>
      <c r="W276" s="58">
        <f t="shared" si="46"/>
        <v>0.18099957525933266</v>
      </c>
      <c r="X276" s="23">
        <f>ROUND(SUM(I276*H276,O276*N276,R276*Q276,U276*T276,)/SUM(H276,N276,Q276,T276,),2)</f>
        <v>0.08</v>
      </c>
      <c r="Y276" s="38">
        <f t="shared" si="44"/>
        <v>1648</v>
      </c>
      <c r="Z276" s="6">
        <f t="shared" si="47"/>
        <v>7.9899999999999999E-2</v>
      </c>
      <c r="AA276" s="5">
        <f t="shared" si="48"/>
        <v>8.5224999999999995E-2</v>
      </c>
      <c r="AB276" s="8">
        <f t="shared" si="49"/>
        <v>1.5425688801476626E-2</v>
      </c>
      <c r="AC276" s="7">
        <f t="shared" si="50"/>
        <v>0.18099957525933266</v>
      </c>
      <c r="AD276" s="5"/>
      <c r="AE276" s="5"/>
    </row>
    <row r="277" spans="1:31" ht="111" customHeight="1" x14ac:dyDescent="0.3">
      <c r="A277" s="26">
        <v>273</v>
      </c>
      <c r="B277" s="32">
        <f>'APÊNDICE II-MEMÓRIA DE CÁLCULO'!B278</f>
        <v>12543</v>
      </c>
      <c r="C277" s="33" t="str">
        <f>'APÊNDICE II-MEMÓRIA DE CÁLCULO'!C278</f>
        <v>-</v>
      </c>
      <c r="D277" s="34" t="str">
        <f>'APÊNDICE II-MEMÓRIA DE CÁLCULO'!D278</f>
        <v>Torneira, tipo: 3 vias - uso: descartável, tipo conectores: luer lock universal, com conexão rotativa, estrutura transparente, com tampa e orientador de fluxo direcionado, estéril. Embalagem individual de papel grau cirúrgico e/ou filme termoplástico, constando dados de identificação e procedência, data e tipo de esterilização, prazo de validade e registro em órgão competente.</v>
      </c>
      <c r="E277" s="33" t="str">
        <f>'APÊNDICE II-MEMÓRIA DE CÁLCULO'!E278</f>
        <v>UNIDADE</v>
      </c>
      <c r="F277" s="35">
        <f>'APÊNDICE II-MEMÓRIA DE CÁLCULO'!L278</f>
        <v>5000</v>
      </c>
      <c r="G277" s="63" t="s">
        <v>809</v>
      </c>
      <c r="H277" s="64">
        <v>1</v>
      </c>
      <c r="I277" s="67">
        <v>0.94</v>
      </c>
      <c r="J277" s="73" t="s">
        <v>810</v>
      </c>
      <c r="K277" s="66">
        <v>1</v>
      </c>
      <c r="L277" s="67">
        <v>1.5</v>
      </c>
      <c r="M277" s="63" t="s">
        <v>619</v>
      </c>
      <c r="N277" s="69">
        <v>1</v>
      </c>
      <c r="O277" s="67">
        <v>0.59</v>
      </c>
      <c r="P277" s="68" t="s">
        <v>796</v>
      </c>
      <c r="Q277" s="66">
        <v>1</v>
      </c>
      <c r="R277" s="67">
        <v>1.1000000000000001</v>
      </c>
      <c r="S277" s="68" t="s">
        <v>770</v>
      </c>
      <c r="T277" s="66">
        <v>1</v>
      </c>
      <c r="U277" s="67">
        <f>57.98/50</f>
        <v>1.1596</v>
      </c>
      <c r="V277" s="37">
        <f t="shared" si="45"/>
        <v>0.2967822528386761</v>
      </c>
      <c r="W277" s="58">
        <f t="shared" si="46"/>
        <v>0.28053373869354592</v>
      </c>
      <c r="X277" s="23">
        <f>ROUND(SUM(I277*H277,L277*K277,O277*N277,R277*Q277,U277*T277,)/SUM(H277,K277,N277,Q277,T277,),2)</f>
        <v>1.06</v>
      </c>
      <c r="Y277" s="38">
        <f t="shared" si="44"/>
        <v>5300</v>
      </c>
      <c r="Z277" s="6">
        <f t="shared" si="47"/>
        <v>1.02</v>
      </c>
      <c r="AA277" s="5">
        <f t="shared" si="48"/>
        <v>1.05792</v>
      </c>
      <c r="AB277" s="8">
        <f t="shared" si="49"/>
        <v>0.2967822528386761</v>
      </c>
      <c r="AC277" s="7">
        <f t="shared" si="50"/>
        <v>0.28053373869354592</v>
      </c>
      <c r="AD277" s="5"/>
      <c r="AE277" s="5"/>
    </row>
    <row r="278" spans="1:31" ht="111" customHeight="1" x14ac:dyDescent="0.3">
      <c r="A278" s="26">
        <v>274</v>
      </c>
      <c r="B278" s="32">
        <f>'APÊNDICE II-MEMÓRIA DE CÁLCULO'!B279</f>
        <v>12544</v>
      </c>
      <c r="C278" s="33">
        <f>'APÊNDICE II-MEMÓRIA DE CÁLCULO'!C279</f>
        <v>459098</v>
      </c>
      <c r="D278" s="34" t="str">
        <f>'APÊNDICE II-MEMÓRIA DE CÁLCULO'!D279</f>
        <v xml:space="preserve">Tubo hospitalar - material: silicone, tamanho: Nº 204, apresentação: rolo com 15 metros, características adicionais: para aspiração, atóxico, flexível, transparente, descartável com diâmetro interno e espessura de parede uniformes, estéril. Embalagem individual, contendo externamente dados de identificação e procedência, data e tipo de esterilização, prazo de validade e registro em órgão competente. </v>
      </c>
      <c r="E278" s="33" t="str">
        <f>'APÊNDICE II-MEMÓRIA DE CÁLCULO'!E279</f>
        <v>ROLO</v>
      </c>
      <c r="F278" s="35">
        <f>'APÊNDICE II-MEMÓRIA DE CÁLCULO'!L279</f>
        <v>100</v>
      </c>
      <c r="G278" s="63" t="s">
        <v>809</v>
      </c>
      <c r="H278" s="64">
        <v>6</v>
      </c>
      <c r="I278" s="67">
        <v>155.30000000000001</v>
      </c>
      <c r="J278" s="73" t="s">
        <v>810</v>
      </c>
      <c r="K278" s="66">
        <v>1</v>
      </c>
      <c r="L278" s="67">
        <v>115.99</v>
      </c>
      <c r="M278" s="63" t="s">
        <v>672</v>
      </c>
      <c r="N278" s="66">
        <v>1</v>
      </c>
      <c r="O278" s="67">
        <v>140</v>
      </c>
      <c r="P278" s="40" t="s">
        <v>31</v>
      </c>
      <c r="Q278" s="55" t="s">
        <v>31</v>
      </c>
      <c r="R278" s="37" t="s">
        <v>31</v>
      </c>
      <c r="S278" s="68" t="s">
        <v>729</v>
      </c>
      <c r="T278" s="66">
        <v>1</v>
      </c>
      <c r="U278" s="67">
        <v>160</v>
      </c>
      <c r="V278" s="37">
        <f t="shared" si="45"/>
        <v>17.16612998756564</v>
      </c>
      <c r="W278" s="58">
        <f t="shared" si="46"/>
        <v>0.1201920564866575</v>
      </c>
      <c r="X278" s="23">
        <f>ROUND(SUM(I278*H278,L278*K278,O278*N278,U278*T278,)/SUM(H278,K278,N278,T278,),2)</f>
        <v>149.75</v>
      </c>
      <c r="Y278" s="38">
        <f t="shared" si="44"/>
        <v>14975</v>
      </c>
      <c r="Z278" s="6">
        <f t="shared" si="47"/>
        <v>140</v>
      </c>
      <c r="AA278" s="5">
        <f t="shared" si="48"/>
        <v>142.82249999999999</v>
      </c>
      <c r="AB278" s="8">
        <f t="shared" si="49"/>
        <v>17.16612998756564</v>
      </c>
      <c r="AC278" s="7">
        <f t="shared" si="50"/>
        <v>0.1201920564866575</v>
      </c>
      <c r="AD278" s="5"/>
      <c r="AE278" s="5"/>
    </row>
    <row r="279" spans="1:31" ht="111" customHeight="1" x14ac:dyDescent="0.3">
      <c r="A279" s="26">
        <v>275</v>
      </c>
      <c r="B279" s="32">
        <f>'APÊNDICE II-MEMÓRIA DE CÁLCULO'!B280</f>
        <v>12545</v>
      </c>
      <c r="C279" s="33">
        <f>'APÊNDICE II-MEMÓRIA DE CÁLCULO'!C280</f>
        <v>459103</v>
      </c>
      <c r="D279" s="34" t="str">
        <f>'APÊNDICE II-MEMÓRIA DE CÁLCULO'!D280</f>
        <v xml:space="preserve">Tubo hospitalar - material: borracha de látex natural, tamanho: Nº 200, dimensões: diâmetro externo 5,5 mm e interno de 3,0 mm, apresentação: rolo com 15 metros, características adicionais: alta resistência a temperatura,apresentação em tubos, na cor amarela. Embalagem contendo externamente dados de identificação e procedência, data de fabricação e registro em órgão competente. </v>
      </c>
      <c r="E279" s="33" t="str">
        <f>'APÊNDICE II-MEMÓRIA DE CÁLCULO'!E280</f>
        <v>PACOTE</v>
      </c>
      <c r="F279" s="35">
        <f>'APÊNDICE II-MEMÓRIA DE CÁLCULO'!L280</f>
        <v>10</v>
      </c>
      <c r="G279" s="63" t="s">
        <v>809</v>
      </c>
      <c r="H279" s="64">
        <v>6</v>
      </c>
      <c r="I279" s="67">
        <v>33.71</v>
      </c>
      <c r="J279" s="73" t="s">
        <v>810</v>
      </c>
      <c r="K279" s="66">
        <v>4</v>
      </c>
      <c r="L279" s="67">
        <v>40.68</v>
      </c>
      <c r="M279" s="63" t="s">
        <v>673</v>
      </c>
      <c r="N279" s="66">
        <v>1</v>
      </c>
      <c r="O279" s="67">
        <v>44.5</v>
      </c>
      <c r="P279" s="68" t="s">
        <v>685</v>
      </c>
      <c r="Q279" s="66">
        <v>1</v>
      </c>
      <c r="R279" s="67">
        <v>43.81</v>
      </c>
      <c r="S279" s="40" t="s">
        <v>31</v>
      </c>
      <c r="T279" s="55" t="s">
        <v>31</v>
      </c>
      <c r="U279" s="37" t="s">
        <v>31</v>
      </c>
      <c r="V279" s="37">
        <f t="shared" si="45"/>
        <v>4.2711269004795049</v>
      </c>
      <c r="W279" s="58">
        <f t="shared" si="46"/>
        <v>0.10500619300502777</v>
      </c>
      <c r="X279" s="23">
        <f>ROUND(SUM(I279*H279,L279*K279,O279*N279,R279*Q279,)/SUM(H279,K279,N279,Q279,),2)</f>
        <v>37.770000000000003</v>
      </c>
      <c r="Y279" s="38">
        <f t="shared" si="44"/>
        <v>377.70000000000005</v>
      </c>
      <c r="Z279" s="6">
        <f t="shared" si="47"/>
        <v>40.68</v>
      </c>
      <c r="AA279" s="5">
        <f t="shared" si="48"/>
        <v>40.675000000000004</v>
      </c>
      <c r="AB279" s="8">
        <f t="shared" si="49"/>
        <v>4.2711269004795049</v>
      </c>
      <c r="AC279" s="7">
        <f t="shared" si="50"/>
        <v>0.10500619300502777</v>
      </c>
      <c r="AD279" s="5"/>
      <c r="AE279" s="5"/>
    </row>
    <row r="280" spans="1:31" ht="111" customHeight="1" x14ac:dyDescent="0.3">
      <c r="A280" s="26">
        <v>276</v>
      </c>
      <c r="B280" s="32">
        <f>'APÊNDICE II-MEMÓRIA DE CÁLCULO'!B281</f>
        <v>12546</v>
      </c>
      <c r="C280" s="33">
        <f>'APÊNDICE II-MEMÓRIA DE CÁLCULO'!C281</f>
        <v>435801</v>
      </c>
      <c r="D280" s="34" t="str">
        <f>'APÊNDICE II-MEMÓRIA DE CÁLCULO'!D281</f>
        <v>Termômetro clínico - tipo: digital, tipo uso: axilar e oral, características adicionais: uniforme e fácil leitura. Embalagem protetora individual contendo externamente dados de identificação e procedência, lote e registro em órgão competente.</v>
      </c>
      <c r="E280" s="33" t="str">
        <f>'APÊNDICE II-MEMÓRIA DE CÁLCULO'!E281</f>
        <v>UNIDADE</v>
      </c>
      <c r="F280" s="35">
        <f>'APÊNDICE II-MEMÓRIA DE CÁLCULO'!L281</f>
        <v>26</v>
      </c>
      <c r="G280" s="63" t="s">
        <v>809</v>
      </c>
      <c r="H280" s="64">
        <v>12</v>
      </c>
      <c r="I280" s="67">
        <v>16.87</v>
      </c>
      <c r="J280" s="73" t="s">
        <v>810</v>
      </c>
      <c r="K280" s="66">
        <v>2</v>
      </c>
      <c r="L280" s="67">
        <v>16.899999999999999</v>
      </c>
      <c r="M280" s="63" t="s">
        <v>620</v>
      </c>
      <c r="N280" s="66">
        <v>1</v>
      </c>
      <c r="O280" s="67">
        <v>10.199999999999999</v>
      </c>
      <c r="P280" s="68" t="s">
        <v>782</v>
      </c>
      <c r="Q280" s="66">
        <v>1</v>
      </c>
      <c r="R280" s="67">
        <v>18.04</v>
      </c>
      <c r="S280" s="68" t="s">
        <v>833</v>
      </c>
      <c r="T280" s="66">
        <v>1</v>
      </c>
      <c r="U280" s="67">
        <v>13</v>
      </c>
      <c r="V280" s="37">
        <f t="shared" si="45"/>
        <v>2.9457929323019409</v>
      </c>
      <c r="W280" s="58">
        <f t="shared" si="46"/>
        <v>0.19636001415157586</v>
      </c>
      <c r="X280" s="23">
        <f>ROUND(SUM(I280*H280,L280*K280,O280*N280,R280*Q280,U280*T280,)/SUM(H280,K280,N280,Q280,T280,),2)</f>
        <v>16.32</v>
      </c>
      <c r="Y280" s="38">
        <f t="shared" si="44"/>
        <v>424.32</v>
      </c>
      <c r="Z280" s="6">
        <f t="shared" si="47"/>
        <v>14.935</v>
      </c>
      <c r="AA280" s="5">
        <f t="shared" si="48"/>
        <v>15.001999999999999</v>
      </c>
      <c r="AB280" s="8">
        <f t="shared" si="49"/>
        <v>2.9457929323019409</v>
      </c>
      <c r="AC280" s="7">
        <f t="shared" si="50"/>
        <v>0.19636001415157586</v>
      </c>
      <c r="AD280" s="5"/>
      <c r="AE280" s="5"/>
    </row>
    <row r="281" spans="1:31" ht="111" customHeight="1" x14ac:dyDescent="0.3">
      <c r="A281" s="26">
        <v>277</v>
      </c>
      <c r="B281" s="32">
        <f>'APÊNDICE II-MEMÓRIA DE CÁLCULO'!B282</f>
        <v>12547</v>
      </c>
      <c r="C281" s="33">
        <f>'APÊNDICE II-MEMÓRIA DE CÁLCULO'!C282</f>
        <v>452244</v>
      </c>
      <c r="D281" s="34" t="str">
        <f>'APÊNDICE II-MEMÓRIA DE CÁLCULO'!D282</f>
        <v>Tala de imobilização - tamanho: PP, dimensões: 30 x 8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v>
      </c>
      <c r="E281" s="33" t="str">
        <f>'APÊNDICE II-MEMÓRIA DE CÁLCULO'!E282</f>
        <v>UNIDADE</v>
      </c>
      <c r="F281" s="35">
        <f>'APÊNDICE II-MEMÓRIA DE CÁLCULO'!L282</f>
        <v>50</v>
      </c>
      <c r="G281" s="63" t="s">
        <v>809</v>
      </c>
      <c r="H281" s="64">
        <v>2</v>
      </c>
      <c r="I281" s="67">
        <v>16.87</v>
      </c>
      <c r="J281" s="73" t="s">
        <v>810</v>
      </c>
      <c r="K281" s="66">
        <v>1</v>
      </c>
      <c r="L281" s="67">
        <v>11.99</v>
      </c>
      <c r="M281" s="63" t="s">
        <v>674</v>
      </c>
      <c r="N281" s="66">
        <v>1</v>
      </c>
      <c r="O281" s="67">
        <v>12</v>
      </c>
      <c r="P281" s="68" t="s">
        <v>373</v>
      </c>
      <c r="Q281" s="66">
        <v>1</v>
      </c>
      <c r="R281" s="67">
        <v>11.61</v>
      </c>
      <c r="S281" s="68" t="s">
        <v>398</v>
      </c>
      <c r="T281" s="66">
        <v>1</v>
      </c>
      <c r="U281" s="67">
        <v>11.95</v>
      </c>
      <c r="V281" s="37">
        <f t="shared" si="45"/>
        <v>1.9982152036254686</v>
      </c>
      <c r="W281" s="58">
        <f t="shared" si="46"/>
        <v>0.15509276650306336</v>
      </c>
      <c r="X281" s="23">
        <f>ROUND(SUM(I281*H281,L281*K281,O281*N281,R281*Q281,U281*T281,)/SUM(H281,K281,N281,Q281,T281,),2)</f>
        <v>13.55</v>
      </c>
      <c r="Y281" s="38">
        <f t="shared" si="44"/>
        <v>677.5</v>
      </c>
      <c r="Z281" s="6">
        <f t="shared" si="47"/>
        <v>11.969999999999999</v>
      </c>
      <c r="AA281" s="5">
        <f t="shared" si="48"/>
        <v>12.884</v>
      </c>
      <c r="AB281" s="8">
        <f t="shared" si="49"/>
        <v>1.9982152036254686</v>
      </c>
      <c r="AC281" s="7">
        <f t="shared" si="50"/>
        <v>0.15509276650306336</v>
      </c>
      <c r="AD281" s="5"/>
      <c r="AE281" s="5"/>
    </row>
    <row r="282" spans="1:31" ht="111" customHeight="1" x14ac:dyDescent="0.3">
      <c r="A282" s="26">
        <v>278</v>
      </c>
      <c r="B282" s="32">
        <f>'APÊNDICE II-MEMÓRIA DE CÁLCULO'!B283</f>
        <v>12548</v>
      </c>
      <c r="C282" s="33" t="str">
        <f>'APÊNDICE II-MEMÓRIA DE CÁLCULO'!C283</f>
        <v>-</v>
      </c>
      <c r="D282" s="34" t="str">
        <f>'APÊNDICE II-MEMÓRIA DE CÁLCULO'!D283</f>
        <v>Tala de imobilização - tamanho: G, dimensões: 86 x 10 cm, tipo: aramada, material: arame revestido com espuma, características adicionais: flexível, moldável, revestida nas duas faces com espuma. embalagem individual de forma a manter a integridade do produto até o uso, e constando os dados de identificação, procedência, número de lote, data de fabricação e validade.</v>
      </c>
      <c r="E282" s="33" t="str">
        <f>'APÊNDICE II-MEMÓRIA DE CÁLCULO'!E283</f>
        <v>UNIDADE</v>
      </c>
      <c r="F282" s="35">
        <f>'APÊNDICE II-MEMÓRIA DE CÁLCULO'!L283</f>
        <v>300</v>
      </c>
      <c r="G282" s="63" t="s">
        <v>809</v>
      </c>
      <c r="H282" s="64">
        <v>8</v>
      </c>
      <c r="I282" s="67">
        <v>13.04</v>
      </c>
      <c r="J282" s="73" t="s">
        <v>810</v>
      </c>
      <c r="K282" s="66">
        <v>1</v>
      </c>
      <c r="L282" s="67">
        <v>18</v>
      </c>
      <c r="M282" s="63" t="s">
        <v>675</v>
      </c>
      <c r="N282" s="66">
        <v>1</v>
      </c>
      <c r="O282" s="67">
        <v>20</v>
      </c>
      <c r="P282" s="68" t="s">
        <v>373</v>
      </c>
      <c r="Q282" s="66">
        <v>1</v>
      </c>
      <c r="R282" s="67">
        <v>17.22</v>
      </c>
      <c r="S282" s="68" t="s">
        <v>398</v>
      </c>
      <c r="T282" s="66">
        <v>1</v>
      </c>
      <c r="U282" s="67">
        <v>23.95</v>
      </c>
      <c r="V282" s="37">
        <f t="shared" si="45"/>
        <v>3.567511177277519</v>
      </c>
      <c r="W282" s="58">
        <f t="shared" si="46"/>
        <v>0.19344491797405483</v>
      </c>
      <c r="X282" s="23">
        <f>ROUND(SUM(I282*H282,L282*K282,O282*N282,R282*Q282,U282*T282,)/SUM(H282,K282,N282,Q282,T282,),2)</f>
        <v>15.29</v>
      </c>
      <c r="Y282" s="38">
        <f t="shared" si="44"/>
        <v>4587</v>
      </c>
      <c r="Z282" s="6">
        <f t="shared" si="47"/>
        <v>17.61</v>
      </c>
      <c r="AA282" s="5">
        <f t="shared" si="48"/>
        <v>18.442</v>
      </c>
      <c r="AB282" s="8">
        <f t="shared" si="49"/>
        <v>3.567511177277519</v>
      </c>
      <c r="AC282" s="7">
        <f t="shared" si="50"/>
        <v>0.19344491797405483</v>
      </c>
      <c r="AD282" s="5"/>
      <c r="AE282" s="5"/>
    </row>
    <row r="283" spans="1:31" ht="111" customHeight="1" x14ac:dyDescent="0.3">
      <c r="A283" s="26">
        <v>279</v>
      </c>
      <c r="B283" s="32">
        <f>'APÊNDICE II-MEMÓRIA DE CÁLCULO'!B284</f>
        <v>12549</v>
      </c>
      <c r="C283" s="33">
        <f>'APÊNDICE II-MEMÓRIA DE CÁLCULO'!C284</f>
        <v>471445</v>
      </c>
      <c r="D283" s="34" t="str">
        <f>'APÊNDICE II-MEMÓRIA DE CÁLCULO'!D284</f>
        <v xml:space="preserve">Tesoura instrumental - tipo: ortopédica, modelo: Lister, tamanho: 19 cm, material: aço inoxidável, esterilidade: esterilizável,  embalagem primária contendo identificação, número do lote, mês, ano de fabricação e validade, e registro em órgão competente. </v>
      </c>
      <c r="E283" s="33" t="str">
        <f>'APÊNDICE II-MEMÓRIA DE CÁLCULO'!E284</f>
        <v>UNIDADE</v>
      </c>
      <c r="F283" s="35">
        <f>'APÊNDICE II-MEMÓRIA DE CÁLCULO'!L284</f>
        <v>5</v>
      </c>
      <c r="G283" s="63" t="s">
        <v>809</v>
      </c>
      <c r="H283" s="64">
        <v>1</v>
      </c>
      <c r="I283" s="67">
        <v>52.24</v>
      </c>
      <c r="J283" s="56" t="s">
        <v>31</v>
      </c>
      <c r="K283" s="55" t="s">
        <v>31</v>
      </c>
      <c r="L283" s="37" t="s">
        <v>31</v>
      </c>
      <c r="M283" s="63" t="s">
        <v>479</v>
      </c>
      <c r="N283" s="66">
        <v>1</v>
      </c>
      <c r="O283" s="67">
        <v>91</v>
      </c>
      <c r="P283" s="68" t="s">
        <v>398</v>
      </c>
      <c r="Q283" s="66">
        <v>1</v>
      </c>
      <c r="R283" s="67">
        <v>83.9</v>
      </c>
      <c r="S283" s="68" t="s">
        <v>834</v>
      </c>
      <c r="T283" s="66">
        <v>1</v>
      </c>
      <c r="U283" s="67">
        <v>92.57</v>
      </c>
      <c r="V283" s="37">
        <f t="shared" si="45"/>
        <v>16.315724585503332</v>
      </c>
      <c r="W283" s="58">
        <f t="shared" si="46"/>
        <v>0.20413155153737236</v>
      </c>
      <c r="X283" s="23">
        <f>ROUND(SUM(I283*H283,O283*N283,R283*Q283,U283*T283,)/SUM(H283,N283,Q283,T283,),2)</f>
        <v>79.930000000000007</v>
      </c>
      <c r="Y283" s="38">
        <f t="shared" si="44"/>
        <v>399.65000000000003</v>
      </c>
      <c r="Z283" s="6">
        <f t="shared" si="47"/>
        <v>83.9</v>
      </c>
      <c r="AA283" s="5">
        <f t="shared" si="48"/>
        <v>79.927500000000009</v>
      </c>
      <c r="AB283" s="8">
        <f t="shared" si="49"/>
        <v>16.315724585503332</v>
      </c>
      <c r="AC283" s="7">
        <f t="shared" si="50"/>
        <v>0.20413155153737236</v>
      </c>
      <c r="AD283" s="5"/>
      <c r="AE283" s="5"/>
    </row>
    <row r="284" spans="1:31" ht="111" customHeight="1" x14ac:dyDescent="0.3">
      <c r="A284" s="26">
        <v>280</v>
      </c>
      <c r="B284" s="32">
        <f>'APÊNDICE II-MEMÓRIA DE CÁLCULO'!B285</f>
        <v>12550</v>
      </c>
      <c r="C284" s="33">
        <f>'APÊNDICE II-MEMÓRIA DE CÁLCULO'!C285</f>
        <v>471592</v>
      </c>
      <c r="D284" s="34" t="str">
        <f>'APÊNDICE II-MEMÓRIA DE CÁLCULO'!D285</f>
        <v>Tesoura instrumental - modelo: Spencer, comprimento: cerca de 10 cm, tipo ponta: reta, material: aço inoxidável, esterilidade: esterilizável, uso: para retirar pontos, características adicionais: embalagem plástica individual, constando os dados de identificação, procedência, rastreabilidade e registro em órgão competente.</v>
      </c>
      <c r="E284" s="33" t="str">
        <f>'APÊNDICE II-MEMÓRIA DE CÁLCULO'!E285</f>
        <v>UNIDADE</v>
      </c>
      <c r="F284" s="35">
        <f>'APÊNDICE II-MEMÓRIA DE CÁLCULO'!L285</f>
        <v>5</v>
      </c>
      <c r="G284" s="63" t="s">
        <v>809</v>
      </c>
      <c r="H284" s="64">
        <v>1</v>
      </c>
      <c r="I284" s="67">
        <v>40</v>
      </c>
      <c r="J284" s="73" t="s">
        <v>810</v>
      </c>
      <c r="K284" s="66">
        <v>2</v>
      </c>
      <c r="L284" s="67">
        <v>53.94</v>
      </c>
      <c r="M284" s="63" t="s">
        <v>480</v>
      </c>
      <c r="N284" s="66">
        <v>1</v>
      </c>
      <c r="O284" s="67">
        <v>53</v>
      </c>
      <c r="P284" s="40" t="s">
        <v>31</v>
      </c>
      <c r="Q284" s="55" t="s">
        <v>31</v>
      </c>
      <c r="R284" s="37" t="s">
        <v>31</v>
      </c>
      <c r="S284" s="40" t="s">
        <v>31</v>
      </c>
      <c r="T284" s="55" t="s">
        <v>31</v>
      </c>
      <c r="U284" s="37" t="s">
        <v>31</v>
      </c>
      <c r="V284" s="37">
        <f t="shared" si="45"/>
        <v>6.3614044570885717</v>
      </c>
      <c r="W284" s="58">
        <f t="shared" si="46"/>
        <v>0.12987759201895818</v>
      </c>
      <c r="X284" s="23">
        <f>ROUND(SUM(I284*H284,L284*K284,O284*N284,)/SUM(H284,K284,N284,),2)</f>
        <v>50.22</v>
      </c>
      <c r="Y284" s="38">
        <f t="shared" si="44"/>
        <v>251.1</v>
      </c>
      <c r="Z284" s="6">
        <f t="shared" si="47"/>
        <v>46.5</v>
      </c>
      <c r="AA284" s="5">
        <f t="shared" si="48"/>
        <v>48.98</v>
      </c>
      <c r="AB284" s="8">
        <f t="shared" si="49"/>
        <v>6.3614044570885717</v>
      </c>
      <c r="AC284" s="7">
        <f t="shared" si="50"/>
        <v>0.12987759201895818</v>
      </c>
      <c r="AD284" s="5"/>
      <c r="AE284" s="5"/>
    </row>
    <row r="285" spans="1:31" ht="111" customHeight="1" x14ac:dyDescent="0.3">
      <c r="A285" s="26">
        <v>281</v>
      </c>
      <c r="B285" s="32">
        <f>'APÊNDICE II-MEMÓRIA DE CÁLCULO'!B286</f>
        <v>12551</v>
      </c>
      <c r="C285" s="33">
        <f>'APÊNDICE II-MEMÓRIA DE CÁLCULO'!C286</f>
        <v>471593</v>
      </c>
      <c r="D285" s="34" t="str">
        <f>'APÊNDICE II-MEMÓRIA DE CÁLCULO'!D286</f>
        <v>Tesoura instrumental - modelo: Spencer, tamanho: 12 cm, tipo ponta: reta, material: aço inoxidável, esterilidade: esterilizável, uso: para retirar pontos, características adicionais: embalagem plástica individual, constando os dados de identificação, procedência, rastreabilidade e registro em órgão competente.</v>
      </c>
      <c r="E285" s="33" t="str">
        <f>'APÊNDICE II-MEMÓRIA DE CÁLCULO'!E286</f>
        <v>UNIDADE</v>
      </c>
      <c r="F285" s="35">
        <f>'APÊNDICE II-MEMÓRIA DE CÁLCULO'!L286</f>
        <v>5</v>
      </c>
      <c r="G285" s="63" t="s">
        <v>809</v>
      </c>
      <c r="H285" s="64">
        <v>12</v>
      </c>
      <c r="I285" s="67">
        <v>38.770000000000003</v>
      </c>
      <c r="J285" s="73" t="s">
        <v>810</v>
      </c>
      <c r="K285" s="66">
        <v>1</v>
      </c>
      <c r="L285" s="67">
        <v>68.31</v>
      </c>
      <c r="M285" s="63" t="s">
        <v>481</v>
      </c>
      <c r="N285" s="66">
        <v>1</v>
      </c>
      <c r="O285" s="67">
        <v>57</v>
      </c>
      <c r="P285" s="68" t="s">
        <v>398</v>
      </c>
      <c r="Q285" s="66">
        <v>1</v>
      </c>
      <c r="R285" s="67">
        <v>52.8</v>
      </c>
      <c r="S285" s="68" t="s">
        <v>797</v>
      </c>
      <c r="T285" s="66">
        <v>1</v>
      </c>
      <c r="U285" s="67">
        <v>73.05</v>
      </c>
      <c r="V285" s="37">
        <f t="shared" si="45"/>
        <v>12.088263067951468</v>
      </c>
      <c r="W285" s="58">
        <f t="shared" si="46"/>
        <v>0.2084686487764541</v>
      </c>
      <c r="X285" s="23">
        <f>ROUND(SUM(I285*H285,L285*K285,O285*N285,R285*Q285,U285*T285,)/SUM(H285,K285,N285,Q285,T285,),2)</f>
        <v>44.78</v>
      </c>
      <c r="Y285" s="38">
        <f t="shared" si="44"/>
        <v>223.9</v>
      </c>
      <c r="Z285" s="6">
        <f t="shared" si="47"/>
        <v>54.9</v>
      </c>
      <c r="AA285" s="5">
        <f t="shared" si="48"/>
        <v>57.986000000000004</v>
      </c>
      <c r="AB285" s="8">
        <f t="shared" si="49"/>
        <v>12.088263067951468</v>
      </c>
      <c r="AC285" s="7">
        <f t="shared" si="50"/>
        <v>0.2084686487764541</v>
      </c>
      <c r="AD285" s="5"/>
      <c r="AE285" s="5"/>
    </row>
    <row r="286" spans="1:31" ht="111" customHeight="1" x14ac:dyDescent="0.3">
      <c r="A286" s="26">
        <v>282</v>
      </c>
      <c r="B286" s="32">
        <f>'APÊNDICE II-MEMÓRIA DE CÁLCULO'!B287</f>
        <v>12552</v>
      </c>
      <c r="C286" s="33">
        <f>'APÊNDICE II-MEMÓRIA DE CÁLCULO'!C287</f>
        <v>471594</v>
      </c>
      <c r="D286" s="34" t="str">
        <f>'APÊNDICE II-MEMÓRIA DE CÁLCULO'!D287</f>
        <v>Tesoura instrumental - modelo: Spencer, tamanho: 14 cm, tipo ponta: reta, material: aço inoxidável, esterilidade: esterilizável, uso: para retirar pontos, características adicionais: embalagem plástica individual, constando os dados de identificação, procedência, rastreabilidade e registro em órgão competente.</v>
      </c>
      <c r="E286" s="33" t="str">
        <f>'APÊNDICE II-MEMÓRIA DE CÁLCULO'!E287</f>
        <v>UNIDADE</v>
      </c>
      <c r="F286" s="35">
        <f>'APÊNDICE II-MEMÓRIA DE CÁLCULO'!L287</f>
        <v>5</v>
      </c>
      <c r="G286" s="63" t="s">
        <v>809</v>
      </c>
      <c r="H286" s="64">
        <v>3</v>
      </c>
      <c r="I286" s="67">
        <v>52.4</v>
      </c>
      <c r="J286" s="73" t="s">
        <v>810</v>
      </c>
      <c r="K286" s="66">
        <v>1</v>
      </c>
      <c r="L286" s="67">
        <v>43.5</v>
      </c>
      <c r="M286" s="63" t="s">
        <v>482</v>
      </c>
      <c r="N286" s="66">
        <v>1</v>
      </c>
      <c r="O286" s="67">
        <v>56.7</v>
      </c>
      <c r="P286" s="68" t="s">
        <v>798</v>
      </c>
      <c r="Q286" s="66">
        <v>1</v>
      </c>
      <c r="R286" s="67">
        <v>44.9</v>
      </c>
      <c r="S286" s="68" t="s">
        <v>799</v>
      </c>
      <c r="T286" s="66">
        <v>1</v>
      </c>
      <c r="U286" s="67">
        <v>44.9</v>
      </c>
      <c r="V286" s="37">
        <f t="shared" si="45"/>
        <v>5.1646490684266109</v>
      </c>
      <c r="W286" s="58">
        <f t="shared" si="46"/>
        <v>0.10653154019031787</v>
      </c>
      <c r="X286" s="23">
        <f>ROUND(SUM(I286*H286,L286*K286,O286*N286,R286*Q286,U286*T286,)/SUM(H286,K286,N286,Q286,T286,),2)</f>
        <v>49.6</v>
      </c>
      <c r="Y286" s="38">
        <f t="shared" si="44"/>
        <v>248</v>
      </c>
      <c r="Z286" s="6">
        <f t="shared" si="47"/>
        <v>44.9</v>
      </c>
      <c r="AA286" s="5">
        <f t="shared" si="48"/>
        <v>48.480000000000004</v>
      </c>
      <c r="AB286" s="8">
        <f t="shared" si="49"/>
        <v>5.1646490684266109</v>
      </c>
      <c r="AC286" s="7">
        <f t="shared" si="50"/>
        <v>0.10653154019031787</v>
      </c>
      <c r="AD286" s="5"/>
      <c r="AE286" s="5"/>
    </row>
    <row r="287" spans="1:31" ht="111" customHeight="1" x14ac:dyDescent="0.3">
      <c r="A287" s="26">
        <v>283</v>
      </c>
      <c r="B287" s="32">
        <f>'APÊNDICE II-MEMÓRIA DE CÁLCULO'!B288</f>
        <v>12553</v>
      </c>
      <c r="C287" s="33">
        <f>'APÊNDICE II-MEMÓRIA DE CÁLCULO'!C288</f>
        <v>471492</v>
      </c>
      <c r="D287" s="34" t="str">
        <f>'APÊNDICE II-MEMÓRIA DE CÁLCULO'!D288</f>
        <v>Tesoura instrumental - modelo: Mayo, tamanho: 15 cm, tipo ponta: reta, romba fina, material: aço inoxidável AISI-420, esterilidade: esterilizável, uso: para retirar pontos, características adicionais: embalagem plástica individual, constando os dados de identificação, procedência, rastreabilidade e registro em órgão competente.</v>
      </c>
      <c r="E287" s="33" t="str">
        <f>'APÊNDICE II-MEMÓRIA DE CÁLCULO'!E288</f>
        <v>UNIDADE</v>
      </c>
      <c r="F287" s="35">
        <f>'APÊNDICE II-MEMÓRIA DE CÁLCULO'!L288</f>
        <v>5</v>
      </c>
      <c r="G287" s="63" t="s">
        <v>809</v>
      </c>
      <c r="H287" s="64">
        <v>1</v>
      </c>
      <c r="I287" s="67">
        <v>30.1</v>
      </c>
      <c r="J287" s="73" t="s">
        <v>810</v>
      </c>
      <c r="K287" s="66">
        <v>3</v>
      </c>
      <c r="L287" s="67">
        <v>37.770000000000003</v>
      </c>
      <c r="M287" s="63" t="s">
        <v>483</v>
      </c>
      <c r="N287" s="66">
        <v>1</v>
      </c>
      <c r="O287" s="67">
        <v>55</v>
      </c>
      <c r="P287" s="68" t="s">
        <v>793</v>
      </c>
      <c r="Q287" s="66">
        <v>1</v>
      </c>
      <c r="R287" s="67">
        <v>39</v>
      </c>
      <c r="S287" s="68" t="s">
        <v>775</v>
      </c>
      <c r="T287" s="66">
        <v>1</v>
      </c>
      <c r="U287" s="67">
        <v>39.5</v>
      </c>
      <c r="V287" s="37">
        <f t="shared" si="45"/>
        <v>8.1099632551572096</v>
      </c>
      <c r="W287" s="58">
        <f t="shared" si="46"/>
        <v>0.20136969894118315</v>
      </c>
      <c r="X287" s="23">
        <f>ROUND(SUM(I287*H287,L287*K287,O287*N287,R287*Q287,U287*T287,)/SUM(H287,K287,N287,Q287,T287,),2)</f>
        <v>39.56</v>
      </c>
      <c r="Y287" s="38">
        <f t="shared" si="44"/>
        <v>197.8</v>
      </c>
      <c r="Z287" s="6">
        <f t="shared" si="47"/>
        <v>38.385000000000005</v>
      </c>
      <c r="AA287" s="5">
        <f t="shared" si="48"/>
        <v>40.274000000000001</v>
      </c>
      <c r="AB287" s="8">
        <f t="shared" si="49"/>
        <v>8.1099632551572096</v>
      </c>
      <c r="AC287" s="7">
        <f t="shared" si="50"/>
        <v>0.20136969894118315</v>
      </c>
      <c r="AD287" s="5"/>
      <c r="AE287" s="5"/>
    </row>
    <row r="288" spans="1:31" ht="111" customHeight="1" x14ac:dyDescent="0.3">
      <c r="A288" s="26">
        <v>284</v>
      </c>
      <c r="B288" s="32">
        <f>'APÊNDICE II-MEMÓRIA DE CÁLCULO'!B289</f>
        <v>12554</v>
      </c>
      <c r="C288" s="33">
        <f>'APÊNDICE II-MEMÓRIA DE CÁLCULO'!C289</f>
        <v>471498</v>
      </c>
      <c r="D288" s="34" t="str">
        <f>'APÊNDICE II-MEMÓRIA DE CÁLCULO'!D289</f>
        <v>Tesoura instrumental - modelo: Mayo, tamanho: 18 cm, tipo ponta: reta, romba fina, material: aço inoxidável AISI-420, esterilidade: esterilizável, uso: para retirar pontos, características adicionais: embalagem plástica individual, constando os dados de identificação, procedência, rastreabilidade e registro em órgão competente.</v>
      </c>
      <c r="E288" s="33" t="str">
        <f>'APÊNDICE II-MEMÓRIA DE CÁLCULO'!E289</f>
        <v>UNIDADE</v>
      </c>
      <c r="F288" s="35">
        <f>'APÊNDICE II-MEMÓRIA DE CÁLCULO'!L289</f>
        <v>5</v>
      </c>
      <c r="G288" s="63" t="s">
        <v>809</v>
      </c>
      <c r="H288" s="64">
        <v>10</v>
      </c>
      <c r="I288" s="67">
        <v>67.569999999999993</v>
      </c>
      <c r="J288" s="73" t="s">
        <v>810</v>
      </c>
      <c r="K288" s="66">
        <v>1</v>
      </c>
      <c r="L288" s="67">
        <v>40</v>
      </c>
      <c r="M288" s="63" t="s">
        <v>484</v>
      </c>
      <c r="N288" s="66">
        <v>1</v>
      </c>
      <c r="O288" s="67">
        <v>59.22</v>
      </c>
      <c r="P288" s="40" t="s">
        <v>31</v>
      </c>
      <c r="Q288" s="55" t="s">
        <v>31</v>
      </c>
      <c r="R288" s="37" t="s">
        <v>31</v>
      </c>
      <c r="S288" s="40" t="s">
        <v>31</v>
      </c>
      <c r="T288" s="55" t="s">
        <v>31</v>
      </c>
      <c r="U288" s="37" t="s">
        <v>31</v>
      </c>
      <c r="V288" s="37">
        <f t="shared" si="45"/>
        <v>11.543328039271104</v>
      </c>
      <c r="W288" s="58">
        <f t="shared" si="46"/>
        <v>0.20762626127353748</v>
      </c>
      <c r="X288" s="23">
        <f>ROUND(SUM(I288*H288,L288*K288,O288*N288,)/SUM(H288,K288,N288,),2)</f>
        <v>64.58</v>
      </c>
      <c r="Y288" s="38">
        <f t="shared" si="44"/>
        <v>322.89999999999998</v>
      </c>
      <c r="Z288" s="6">
        <f t="shared" si="47"/>
        <v>49.61</v>
      </c>
      <c r="AA288" s="5">
        <f t="shared" si="48"/>
        <v>55.596666666666664</v>
      </c>
      <c r="AB288" s="8">
        <f t="shared" si="49"/>
        <v>11.543328039271104</v>
      </c>
      <c r="AC288" s="7">
        <f t="shared" si="50"/>
        <v>0.20762626127353748</v>
      </c>
      <c r="AD288" s="5"/>
      <c r="AE288" s="5"/>
    </row>
    <row r="289" spans="1:31" ht="111" customHeight="1" x14ac:dyDescent="0.3">
      <c r="A289" s="26">
        <v>285</v>
      </c>
      <c r="B289" s="32">
        <f>'APÊNDICE II-MEMÓRIA DE CÁLCULO'!B290</f>
        <v>12555</v>
      </c>
      <c r="C289" s="33">
        <f>'APÊNDICE II-MEMÓRIA DE CÁLCULO'!C290</f>
        <v>471511</v>
      </c>
      <c r="D289" s="34" t="str">
        <f>'APÊNDICE II-MEMÓRIA DE CÁLCULO'!D290</f>
        <v>Tesoura instrumental - modelo: Metzembaum, tamanho: 15 cm, tipo ponta: reta, material: aço inoxidável AISI-420, esterilidade: esterilizável, características adicionais: embalagem plástica individual, constando os dados de identificação, procedência, rastreabilidade e registro em órgão competente.</v>
      </c>
      <c r="E289" s="33" t="str">
        <f>'APÊNDICE II-MEMÓRIA DE CÁLCULO'!E290</f>
        <v>UNIDADE</v>
      </c>
      <c r="F289" s="35">
        <f>'APÊNDICE II-MEMÓRIA DE CÁLCULO'!L290</f>
        <v>5</v>
      </c>
      <c r="G289" s="63" t="s">
        <v>809</v>
      </c>
      <c r="H289" s="64">
        <v>3</v>
      </c>
      <c r="I289" s="67">
        <v>44</v>
      </c>
      <c r="J289" s="73" t="s">
        <v>810</v>
      </c>
      <c r="K289" s="66">
        <v>1</v>
      </c>
      <c r="L289" s="67">
        <v>39.9</v>
      </c>
      <c r="M289" s="63" t="s">
        <v>485</v>
      </c>
      <c r="N289" s="66">
        <v>1</v>
      </c>
      <c r="O289" s="67">
        <v>52</v>
      </c>
      <c r="P289" s="68" t="s">
        <v>398</v>
      </c>
      <c r="Q289" s="66">
        <v>1</v>
      </c>
      <c r="R289" s="67">
        <v>51.4</v>
      </c>
      <c r="S289" s="68" t="s">
        <v>775</v>
      </c>
      <c r="T289" s="66">
        <v>1</v>
      </c>
      <c r="U289" s="67">
        <v>62.5</v>
      </c>
      <c r="V289" s="37">
        <f t="shared" si="45"/>
        <v>7.7487031172964436</v>
      </c>
      <c r="W289" s="58">
        <f t="shared" si="46"/>
        <v>0.15509814085861576</v>
      </c>
      <c r="X289" s="23">
        <f>ROUND(SUM(I289*H289,L289*K289,O289*N289,R289*Q289,U289*T289,)/SUM(H289,K289,N289,Q289,T289,),2)</f>
        <v>48.26</v>
      </c>
      <c r="Y289" s="38">
        <f t="shared" si="44"/>
        <v>241.29999999999998</v>
      </c>
      <c r="Z289" s="6">
        <f t="shared" si="47"/>
        <v>47.7</v>
      </c>
      <c r="AA289" s="5">
        <f t="shared" si="48"/>
        <v>49.96</v>
      </c>
      <c r="AB289" s="8">
        <f t="shared" si="49"/>
        <v>7.7487031172964436</v>
      </c>
      <c r="AC289" s="7">
        <f t="shared" si="50"/>
        <v>0.15509814085861576</v>
      </c>
      <c r="AD289" s="5"/>
      <c r="AE289" s="5"/>
    </row>
    <row r="290" spans="1:31" ht="111" customHeight="1" x14ac:dyDescent="0.3">
      <c r="A290" s="26">
        <v>286</v>
      </c>
      <c r="B290" s="32">
        <f>'APÊNDICE II-MEMÓRIA DE CÁLCULO'!B291</f>
        <v>12556</v>
      </c>
      <c r="C290" s="33">
        <f>'APÊNDICE II-MEMÓRIA DE CÁLCULO'!C291</f>
        <v>471513</v>
      </c>
      <c r="D290" s="34" t="str">
        <f>'APÊNDICE II-MEMÓRIA DE CÁLCULO'!D291</f>
        <v>Tesoura instrumental - modelo: Metzembaum, tamanho: 20 cm, tipo ponta: reta, material: aço inoxidável AISI-420, esterilidade: esterilizável, características adicionais: embalagem plástica individual, constando os dados de identificação, procedência, rastreabilidade e registro em órgão competente.</v>
      </c>
      <c r="E290" s="33" t="str">
        <f>'APÊNDICE II-MEMÓRIA DE CÁLCULO'!E291</f>
        <v>UNIDADE</v>
      </c>
      <c r="F290" s="35">
        <f>'APÊNDICE II-MEMÓRIA DE CÁLCULO'!L291</f>
        <v>5</v>
      </c>
      <c r="G290" s="63" t="s">
        <v>809</v>
      </c>
      <c r="H290" s="64">
        <v>3</v>
      </c>
      <c r="I290" s="67">
        <v>59.1</v>
      </c>
      <c r="J290" s="73" t="s">
        <v>810</v>
      </c>
      <c r="K290" s="66">
        <v>1</v>
      </c>
      <c r="L290" s="67">
        <v>64.37</v>
      </c>
      <c r="M290" s="63" t="s">
        <v>486</v>
      </c>
      <c r="N290" s="66">
        <v>1</v>
      </c>
      <c r="O290" s="67">
        <v>83.9</v>
      </c>
      <c r="P290" s="68" t="s">
        <v>357</v>
      </c>
      <c r="Q290" s="66">
        <v>1</v>
      </c>
      <c r="R290" s="67">
        <v>73.989999999999995</v>
      </c>
      <c r="S290" s="68" t="s">
        <v>690</v>
      </c>
      <c r="T290" s="66">
        <v>1</v>
      </c>
      <c r="U290" s="67">
        <v>82.62</v>
      </c>
      <c r="V290" s="37">
        <f t="shared" si="45"/>
        <v>9.7960534910748436</v>
      </c>
      <c r="W290" s="58">
        <f t="shared" si="46"/>
        <v>0.13456856820532506</v>
      </c>
      <c r="X290" s="23">
        <f>ROUND(SUM(I290*H290,L290*K290,O290*N290,R290*Q290,U290*T290,)/SUM(H290,K290,N290,Q290,T290,),2)</f>
        <v>68.88</v>
      </c>
      <c r="Y290" s="38">
        <f t="shared" si="44"/>
        <v>344.4</v>
      </c>
      <c r="Z290" s="6">
        <f t="shared" si="47"/>
        <v>69.180000000000007</v>
      </c>
      <c r="AA290" s="5">
        <f t="shared" si="48"/>
        <v>72.796000000000006</v>
      </c>
      <c r="AB290" s="8">
        <f t="shared" si="49"/>
        <v>9.7960534910748436</v>
      </c>
      <c r="AC290" s="7">
        <f t="shared" si="50"/>
        <v>0.13456856820532506</v>
      </c>
      <c r="AD290" s="5"/>
      <c r="AE290" s="5"/>
    </row>
    <row r="291" spans="1:31" ht="111" customHeight="1" x14ac:dyDescent="0.3">
      <c r="A291" s="26">
        <v>287</v>
      </c>
      <c r="B291" s="32">
        <f>'APÊNDICE II-MEMÓRIA DE CÁLCULO'!B292</f>
        <v>12557</v>
      </c>
      <c r="C291" s="33" t="str">
        <f>'APÊNDICE II-MEMÓRIA DE CÁLCULO'!C292</f>
        <v xml:space="preserve">471566	</v>
      </c>
      <c r="D291" s="34" t="str">
        <f>'APÊNDICE II-MEMÓRIA DE CÁLCULO'!D292</f>
        <v>Tesoura instrumental - modelo: Íris, tamanho: 12 cm, tipo ponta: romba reta, material: aço inoxidável, esterilidade: esterilizável, características adicionais: embalagem plástica individual, constando os dados de identificação, procedência, rastreabilidade e registro em órgão competente.</v>
      </c>
      <c r="E291" s="33" t="str">
        <f>'APÊNDICE II-MEMÓRIA DE CÁLCULO'!E292</f>
        <v>UNIDADE</v>
      </c>
      <c r="F291" s="35">
        <f>'APÊNDICE II-MEMÓRIA DE CÁLCULO'!L292</f>
        <v>5</v>
      </c>
      <c r="G291" s="63" t="s">
        <v>809</v>
      </c>
      <c r="H291" s="64">
        <v>1</v>
      </c>
      <c r="I291" s="67">
        <v>26.07</v>
      </c>
      <c r="J291" s="73" t="s">
        <v>810</v>
      </c>
      <c r="K291" s="66">
        <v>4</v>
      </c>
      <c r="L291" s="67">
        <v>29.15</v>
      </c>
      <c r="M291" s="63" t="s">
        <v>487</v>
      </c>
      <c r="N291" s="66">
        <v>1</v>
      </c>
      <c r="O291" s="67">
        <v>48</v>
      </c>
      <c r="P291" s="68" t="s">
        <v>778</v>
      </c>
      <c r="Q291" s="66">
        <v>1</v>
      </c>
      <c r="R291" s="67">
        <v>35.799999999999997</v>
      </c>
      <c r="S291" s="68" t="s">
        <v>398</v>
      </c>
      <c r="T291" s="66">
        <v>1</v>
      </c>
      <c r="U291" s="67">
        <v>27.9</v>
      </c>
      <c r="V291" s="37">
        <f t="shared" si="45"/>
        <v>8.0119925112296553</v>
      </c>
      <c r="W291" s="58">
        <f t="shared" si="46"/>
        <v>0.23999498296278621</v>
      </c>
      <c r="X291" s="23">
        <f>ROUND(SUM(I291*H291,L291*K291,O291*N291,R291*Q291,U291*T291,)/SUM(H291,K291,N291,Q291,T291,),2)</f>
        <v>31.8</v>
      </c>
      <c r="Y291" s="38">
        <f t="shared" si="44"/>
        <v>159</v>
      </c>
      <c r="Z291" s="6">
        <f t="shared" si="47"/>
        <v>28.524999999999999</v>
      </c>
      <c r="AA291" s="5">
        <f t="shared" si="48"/>
        <v>33.384</v>
      </c>
      <c r="AB291" s="8">
        <f t="shared" si="49"/>
        <v>8.0119925112296553</v>
      </c>
      <c r="AC291" s="7">
        <f t="shared" si="50"/>
        <v>0.23999498296278621</v>
      </c>
      <c r="AD291" s="5"/>
      <c r="AE291" s="5"/>
    </row>
    <row r="292" spans="1:31" ht="111" customHeight="1" x14ac:dyDescent="0.3">
      <c r="A292" s="26">
        <v>288</v>
      </c>
      <c r="B292" s="32">
        <f>'APÊNDICE II-MEMÓRIA DE CÁLCULO'!B293</f>
        <v>12558</v>
      </c>
      <c r="C292" s="33" t="str">
        <f>'APÊNDICE II-MEMÓRIA DE CÁLCULO'!C293</f>
        <v>-</v>
      </c>
      <c r="D292" s="34" t="str">
        <f>'APÊNDICE II-MEMÓRIA DE CÁLCULO'!D293</f>
        <v>Tesoura instrumental - modelo: Mayo, tamanho: 15 cm, tipo ponta: curva, romba-fina, material: aço inoxidável AISI-420, esterilidade: esterilizável, características adicionais: embalagem plástica individual, constando os dados de identificação, procedência, rastreabilidade e registro em órgão competente.</v>
      </c>
      <c r="E292" s="33" t="str">
        <f>'APÊNDICE II-MEMÓRIA DE CÁLCULO'!E293</f>
        <v>UNIDADE</v>
      </c>
      <c r="F292" s="35">
        <f>'APÊNDICE II-MEMÓRIA DE CÁLCULO'!L293</f>
        <v>5</v>
      </c>
      <c r="G292" s="63" t="s">
        <v>809</v>
      </c>
      <c r="H292" s="64">
        <v>1</v>
      </c>
      <c r="I292" s="67">
        <v>55</v>
      </c>
      <c r="J292" s="56" t="s">
        <v>31</v>
      </c>
      <c r="K292" s="55" t="s">
        <v>31</v>
      </c>
      <c r="L292" s="37" t="s">
        <v>31</v>
      </c>
      <c r="M292" s="63" t="s">
        <v>488</v>
      </c>
      <c r="N292" s="66">
        <v>1</v>
      </c>
      <c r="O292" s="67">
        <v>56.98</v>
      </c>
      <c r="P292" s="68" t="s">
        <v>793</v>
      </c>
      <c r="Q292" s="66">
        <v>1</v>
      </c>
      <c r="R292" s="67">
        <v>39</v>
      </c>
      <c r="S292" s="68" t="s">
        <v>800</v>
      </c>
      <c r="T292" s="66">
        <v>1</v>
      </c>
      <c r="U292" s="67">
        <v>41.75</v>
      </c>
      <c r="V292" s="37">
        <f t="shared" si="45"/>
        <v>7.8988871842810973</v>
      </c>
      <c r="W292" s="58">
        <f t="shared" si="46"/>
        <v>0.1639368481145872</v>
      </c>
      <c r="X292" s="23">
        <f>ROUND(SUM(I292*H292,O292*N292,R292*Q292,U292*T292,)/SUM(H292,N292,Q292,T292,),2)</f>
        <v>48.18</v>
      </c>
      <c r="Y292" s="38">
        <f t="shared" si="44"/>
        <v>240.9</v>
      </c>
      <c r="Z292" s="6">
        <f t="shared" si="47"/>
        <v>41.75</v>
      </c>
      <c r="AA292" s="5">
        <f t="shared" si="48"/>
        <v>48.182499999999997</v>
      </c>
      <c r="AB292" s="8">
        <f t="shared" si="49"/>
        <v>7.8988871842810973</v>
      </c>
      <c r="AC292" s="7">
        <f t="shared" si="50"/>
        <v>0.1639368481145872</v>
      </c>
      <c r="AD292" s="5"/>
      <c r="AE292" s="5"/>
    </row>
    <row r="293" spans="1:31" ht="111" customHeight="1" x14ac:dyDescent="0.3">
      <c r="A293" s="26">
        <v>289</v>
      </c>
      <c r="B293" s="32">
        <f>'APÊNDICE II-MEMÓRIA DE CÁLCULO'!B294</f>
        <v>12559</v>
      </c>
      <c r="C293" s="33">
        <f>'APÊNDICE II-MEMÓRIA DE CÁLCULO'!C294</f>
        <v>428551</v>
      </c>
      <c r="D293" s="34" t="str">
        <f>'APÊNDICE II-MEMÓRIA DE CÁLCULO'!D294</f>
        <v>Tubo para centrifugação - tipo Eppendorf - 0,5ML. Indicador químico interno, do tipo integrador em conformidade com ISSO 11140-1, que possibilita a monitorização das condições de esterilização às misturas de gás óxido de etileno, no interior das embalagens.</v>
      </c>
      <c r="E293" s="33" t="str">
        <f>'APÊNDICE II-MEMÓRIA DE CÁLCULO'!E294</f>
        <v>UNIDADE</v>
      </c>
      <c r="F293" s="35">
        <f>'APÊNDICE II-MEMÓRIA DE CÁLCULO'!L294</f>
        <v>100</v>
      </c>
      <c r="G293" s="25" t="s">
        <v>31</v>
      </c>
      <c r="H293" s="54" t="s">
        <v>31</v>
      </c>
      <c r="I293" s="37" t="s">
        <v>31</v>
      </c>
      <c r="J293" s="73" t="s">
        <v>810</v>
      </c>
      <c r="K293" s="66">
        <v>1</v>
      </c>
      <c r="L293" s="67">
        <v>0.05</v>
      </c>
      <c r="M293" s="63" t="s">
        <v>489</v>
      </c>
      <c r="N293" s="66">
        <v>1</v>
      </c>
      <c r="O293" s="67">
        <v>0.08</v>
      </c>
      <c r="P293" s="68" t="s">
        <v>364</v>
      </c>
      <c r="Q293" s="66">
        <v>1</v>
      </c>
      <c r="R293" s="67">
        <f>58.61/1000</f>
        <v>5.8610000000000002E-2</v>
      </c>
      <c r="S293" s="40" t="s">
        <v>31</v>
      </c>
      <c r="T293" s="55" t="s">
        <v>31</v>
      </c>
      <c r="U293" s="37" t="s">
        <v>31</v>
      </c>
      <c r="V293" s="37">
        <f t="shared" si="45"/>
        <v>1.2612446233780383E-2</v>
      </c>
      <c r="W293" s="58">
        <f t="shared" si="46"/>
        <v>0.20061151954478104</v>
      </c>
      <c r="X293" s="23">
        <f>ROUND(SUM(L293*K293,O293*N293,R293*Q293)/SUM(K293,N293,Q293,),2)</f>
        <v>0.06</v>
      </c>
      <c r="Y293" s="38">
        <f t="shared" si="44"/>
        <v>6</v>
      </c>
      <c r="Z293" s="6">
        <f t="shared" si="47"/>
        <v>5.4305000000000006E-2</v>
      </c>
      <c r="AA293" s="5">
        <f t="shared" si="48"/>
        <v>6.2869999999999995E-2</v>
      </c>
      <c r="AB293" s="8">
        <f t="shared" si="49"/>
        <v>1.2612446233780383E-2</v>
      </c>
      <c r="AC293" s="7">
        <f t="shared" si="50"/>
        <v>0.20061151954478104</v>
      </c>
      <c r="AD293" s="5"/>
      <c r="AE293" s="5"/>
    </row>
    <row r="294" spans="1:31" ht="111" customHeight="1" x14ac:dyDescent="0.3">
      <c r="A294" s="26">
        <v>290</v>
      </c>
      <c r="B294" s="32">
        <f>'APÊNDICE II-MEMÓRIA DE CÁLCULO'!B295</f>
        <v>12560</v>
      </c>
      <c r="C294" s="33" t="str">
        <f>'APÊNDICE II-MEMÓRIA DE CÁLCULO'!C295</f>
        <v>-</v>
      </c>
      <c r="D294" s="34" t="str">
        <f>'APÊNDICE II-MEMÓRIA DE CÁLCULO'!D295</f>
        <v>Tubo endotraqueal - tamanho: neonatal, calibre: Nº 2,5, material: tubo PVC transparente e estrutura interna reforçada por um fio de aço inoxidável, conector: 2,5 mm, com balão, esterilidade: estéril, uso único, características adicionais: com registro em órgão competente.</v>
      </c>
      <c r="E294" s="33" t="str">
        <f>'APÊNDICE II-MEMÓRIA DE CÁLCULO'!E295</f>
        <v>UNIDADE</v>
      </c>
      <c r="F294" s="35">
        <f>'APÊNDICE II-MEMÓRIA DE CÁLCULO'!L295</f>
        <v>20</v>
      </c>
      <c r="G294" s="25" t="s">
        <v>31</v>
      </c>
      <c r="H294" s="54" t="s">
        <v>31</v>
      </c>
      <c r="I294" s="37" t="s">
        <v>31</v>
      </c>
      <c r="J294" s="56" t="s">
        <v>31</v>
      </c>
      <c r="K294" s="55" t="s">
        <v>31</v>
      </c>
      <c r="L294" s="37" t="s">
        <v>31</v>
      </c>
      <c r="M294" s="63" t="s">
        <v>418</v>
      </c>
      <c r="N294" s="66">
        <v>1</v>
      </c>
      <c r="O294" s="67">
        <v>10.32</v>
      </c>
      <c r="P294" s="68" t="s">
        <v>355</v>
      </c>
      <c r="Q294" s="66">
        <v>1</v>
      </c>
      <c r="R294" s="67">
        <v>5.07</v>
      </c>
      <c r="S294" s="68" t="s">
        <v>406</v>
      </c>
      <c r="T294" s="66">
        <v>1</v>
      </c>
      <c r="U294" s="67">
        <v>6.75</v>
      </c>
      <c r="V294" s="37">
        <f t="shared" si="45"/>
        <v>2.1891094079556628</v>
      </c>
      <c r="W294" s="58">
        <f t="shared" si="46"/>
        <v>0.2966272910509028</v>
      </c>
      <c r="X294" s="23">
        <f>ROUND(SUM(O294*N294,R294*Q294,U294*T294,)/SUM(N294,Q294,T294,),2)</f>
        <v>7.38</v>
      </c>
      <c r="Y294" s="38">
        <f t="shared" si="44"/>
        <v>147.6</v>
      </c>
      <c r="Z294" s="6">
        <f t="shared" si="47"/>
        <v>5.91</v>
      </c>
      <c r="AA294" s="5">
        <f t="shared" si="48"/>
        <v>7.38</v>
      </c>
      <c r="AB294" s="8">
        <f t="shared" si="49"/>
        <v>2.1891094079556628</v>
      </c>
      <c r="AC294" s="7">
        <f t="shared" si="50"/>
        <v>0.2966272910509028</v>
      </c>
      <c r="AD294" s="5"/>
      <c r="AE294" s="5"/>
    </row>
    <row r="295" spans="1:31" ht="111" customHeight="1" x14ac:dyDescent="0.3">
      <c r="A295" s="26">
        <v>291</v>
      </c>
      <c r="B295" s="32">
        <f>'APÊNDICE II-MEMÓRIA DE CÁLCULO'!B296</f>
        <v>12561</v>
      </c>
      <c r="C295" s="33" t="str">
        <f>'APÊNDICE II-MEMÓRIA DE CÁLCULO'!C296</f>
        <v>-</v>
      </c>
      <c r="D295" s="34" t="str">
        <f>'APÊNDICE II-MEMÓRIA DE CÁLCULO'!D296</f>
        <v>Tubo endotraqueal - calibre: Nº 3,0, material: tubo PVC transparente e estrutura interna reforçada por um fio de aço inoxidável, conector: 3,0 mm, com balão, esterilidade: estéril, uso único, características adicionais: com registro em órgão competente.</v>
      </c>
      <c r="E295" s="33" t="str">
        <f>'APÊNDICE II-MEMÓRIA DE CÁLCULO'!E296</f>
        <v>UNIDADE</v>
      </c>
      <c r="F295" s="35">
        <f>'APÊNDICE II-MEMÓRIA DE CÁLCULO'!L296</f>
        <v>20</v>
      </c>
      <c r="G295" s="63" t="s">
        <v>809</v>
      </c>
      <c r="H295" s="64">
        <v>5</v>
      </c>
      <c r="I295" s="67">
        <v>3.95</v>
      </c>
      <c r="J295" s="56" t="s">
        <v>31</v>
      </c>
      <c r="K295" s="55" t="str">
        <f>K294</f>
        <v>-</v>
      </c>
      <c r="L295" s="37" t="s">
        <v>31</v>
      </c>
      <c r="M295" s="63" t="s">
        <v>621</v>
      </c>
      <c r="N295" s="66">
        <v>1</v>
      </c>
      <c r="O295" s="67">
        <v>3.71</v>
      </c>
      <c r="P295" s="68" t="s">
        <v>355</v>
      </c>
      <c r="Q295" s="66">
        <v>1</v>
      </c>
      <c r="R295" s="67">
        <v>4.76</v>
      </c>
      <c r="S295" s="68" t="s">
        <v>406</v>
      </c>
      <c r="T295" s="66">
        <v>1</v>
      </c>
      <c r="U295" s="67">
        <f>3*1.7</f>
        <v>5.0999999999999996</v>
      </c>
      <c r="V295" s="37">
        <f t="shared" si="45"/>
        <v>0.56934172515282899</v>
      </c>
      <c r="W295" s="58">
        <f t="shared" si="46"/>
        <v>0.12998669524037193</v>
      </c>
      <c r="X295" s="23">
        <f>ROUND(SUM(I295*H295,O295*N295,R295*Q295,U295*T295,)/SUM(H295,N295,Q295,T295,),2)</f>
        <v>4.17</v>
      </c>
      <c r="Y295" s="38">
        <f t="shared" si="44"/>
        <v>83.4</v>
      </c>
      <c r="Z295" s="6">
        <f t="shared" si="47"/>
        <v>3.95</v>
      </c>
      <c r="AA295" s="5">
        <f t="shared" si="48"/>
        <v>4.38</v>
      </c>
      <c r="AB295" s="8">
        <f t="shared" si="49"/>
        <v>0.56934172515282899</v>
      </c>
      <c r="AC295" s="7">
        <f t="shared" si="50"/>
        <v>0.12998669524037193</v>
      </c>
      <c r="AD295" s="5"/>
      <c r="AE295" s="5"/>
    </row>
    <row r="296" spans="1:31" ht="111" customHeight="1" x14ac:dyDescent="0.3">
      <c r="A296" s="26">
        <v>292</v>
      </c>
      <c r="B296" s="32">
        <f>'APÊNDICE II-MEMÓRIA DE CÁLCULO'!B297</f>
        <v>12562</v>
      </c>
      <c r="C296" s="33">
        <f>'APÊNDICE II-MEMÓRIA DE CÁLCULO'!C297</f>
        <v>451197</v>
      </c>
      <c r="D296" s="34" t="str">
        <f>'APÊNDICE II-MEMÓRIA DE CÁLCULO'!D297</f>
        <v>Tubo endotraqueal - calibre: Nº 3,5, material: tubo PVC transparente e estrutura interna reforçada por um fio de aço inoxidável, conector: 3,5 mm, com balão, esterilidade: estéril, uso único, características adicionais: com registro em órgão competente.</v>
      </c>
      <c r="E296" s="33" t="str">
        <f>'APÊNDICE II-MEMÓRIA DE CÁLCULO'!E297</f>
        <v>UNIDADE</v>
      </c>
      <c r="F296" s="35">
        <f>'APÊNDICE II-MEMÓRIA DE CÁLCULO'!L297</f>
        <v>20</v>
      </c>
      <c r="G296" s="63" t="s">
        <v>809</v>
      </c>
      <c r="H296" s="64">
        <v>4</v>
      </c>
      <c r="I296" s="67">
        <v>5.78</v>
      </c>
      <c r="J296" s="73" t="s">
        <v>810</v>
      </c>
      <c r="K296" s="66">
        <v>3</v>
      </c>
      <c r="L296" s="67">
        <v>3.57</v>
      </c>
      <c r="M296" s="63" t="s">
        <v>622</v>
      </c>
      <c r="N296" s="66">
        <v>1</v>
      </c>
      <c r="O296" s="67">
        <v>3.74</v>
      </c>
      <c r="P296" s="68" t="s">
        <v>793</v>
      </c>
      <c r="Q296" s="66">
        <v>1</v>
      </c>
      <c r="R296" s="67">
        <v>5</v>
      </c>
      <c r="S296" s="68" t="s">
        <v>406</v>
      </c>
      <c r="T296" s="66">
        <v>1</v>
      </c>
      <c r="U296" s="67">
        <f>3*1.66</f>
        <v>4.9799999999999995</v>
      </c>
      <c r="V296" s="37">
        <f t="shared" si="45"/>
        <v>0.83622006672884763</v>
      </c>
      <c r="W296" s="58">
        <f t="shared" si="46"/>
        <v>0.18123538507343903</v>
      </c>
      <c r="X296" s="23">
        <f>ROUND(SUM(I296*H296,L296*K296,O296*N296,R296*Q296,U296*T296,)/SUM(H296,K296,N296,Q296,T296,),2)</f>
        <v>4.76</v>
      </c>
      <c r="Y296" s="38">
        <f t="shared" si="44"/>
        <v>95.199999999999989</v>
      </c>
      <c r="Z296" s="6">
        <f t="shared" si="47"/>
        <v>4.3599999999999994</v>
      </c>
      <c r="AA296" s="5">
        <f t="shared" si="48"/>
        <v>4.6139999999999999</v>
      </c>
      <c r="AB296" s="8">
        <f t="shared" si="49"/>
        <v>0.83622006672884763</v>
      </c>
      <c r="AC296" s="7">
        <f t="shared" si="50"/>
        <v>0.18123538507343903</v>
      </c>
      <c r="AD296" s="5"/>
      <c r="AE296" s="5"/>
    </row>
    <row r="297" spans="1:31" ht="111" customHeight="1" x14ac:dyDescent="0.3">
      <c r="A297" s="26">
        <v>293</v>
      </c>
      <c r="B297" s="32">
        <f>'APÊNDICE II-MEMÓRIA DE CÁLCULO'!B298</f>
        <v>12563</v>
      </c>
      <c r="C297" s="33" t="str">
        <f>'APÊNDICE II-MEMÓRIA DE CÁLCULO'!C298</f>
        <v>-</v>
      </c>
      <c r="D297" s="34" t="str">
        <f>'APÊNDICE II-MEMÓRIA DE CÁLCULO'!D298</f>
        <v>Tubos de ensaio - material: vidro de borosilicato, dimensões: 12 x 75 mm, características adicionais: sem aro pirex, com tampas de pressão laboratório, cor transparente, embalagem plástica individual, constando os dados de identificação, procedência e rastreabilidade.</v>
      </c>
      <c r="E297" s="33" t="str">
        <f>'APÊNDICE II-MEMÓRIA DE CÁLCULO'!E298</f>
        <v>UNIDADE</v>
      </c>
      <c r="F297" s="35">
        <f>'APÊNDICE II-MEMÓRIA DE CÁLCULO'!L298</f>
        <v>100</v>
      </c>
      <c r="G297" s="63" t="s">
        <v>809</v>
      </c>
      <c r="H297" s="64">
        <v>1</v>
      </c>
      <c r="I297" s="67">
        <v>0.48</v>
      </c>
      <c r="J297" s="56" t="s">
        <v>31</v>
      </c>
      <c r="K297" s="55" t="s">
        <v>31</v>
      </c>
      <c r="L297" s="37" t="s">
        <v>31</v>
      </c>
      <c r="M297" s="63" t="s">
        <v>490</v>
      </c>
      <c r="N297" s="66">
        <v>1</v>
      </c>
      <c r="O297" s="67">
        <v>0.37</v>
      </c>
      <c r="P297" s="68" t="s">
        <v>766</v>
      </c>
      <c r="Q297" s="66">
        <v>1</v>
      </c>
      <c r="R297" s="67">
        <v>0.4</v>
      </c>
      <c r="S297" s="68" t="s">
        <v>801</v>
      </c>
      <c r="T297" s="66">
        <v>1</v>
      </c>
      <c r="U297" s="67">
        <v>0.61</v>
      </c>
      <c r="V297" s="37">
        <f t="shared" si="45"/>
        <v>9.2870878105033666E-2</v>
      </c>
      <c r="W297" s="58">
        <f t="shared" si="46"/>
        <v>0.19972231850544875</v>
      </c>
      <c r="X297" s="23">
        <f>ROUND(SUM(I297*H297,O297*N297,R297*Q297,U297*T297,)/SUM(H297,N297,Q297,T297,),2)</f>
        <v>0.47</v>
      </c>
      <c r="Y297" s="38">
        <f t="shared" si="44"/>
        <v>47</v>
      </c>
      <c r="Z297" s="6">
        <f t="shared" si="47"/>
        <v>0.4</v>
      </c>
      <c r="AA297" s="5">
        <f t="shared" si="48"/>
        <v>0.46499999999999997</v>
      </c>
      <c r="AB297" s="8">
        <f t="shared" si="49"/>
        <v>9.2870878105033666E-2</v>
      </c>
      <c r="AC297" s="7">
        <f t="shared" si="50"/>
        <v>0.19972231850544875</v>
      </c>
      <c r="AD297" s="5"/>
      <c r="AE297" s="5"/>
    </row>
    <row r="298" spans="1:31" ht="138" customHeight="1" x14ac:dyDescent="0.3">
      <c r="A298" s="26">
        <v>294</v>
      </c>
      <c r="B298" s="32">
        <f>'APÊNDICE II-MEMÓRIA DE CÁLCULO'!B299</f>
        <v>12564</v>
      </c>
      <c r="C298" s="33">
        <f>'APÊNDICE II-MEMÓRIA DE CÁLCULO'!C299</f>
        <v>435410</v>
      </c>
      <c r="D298" s="34" t="str">
        <f>'APÊNDICE II-MEMÓRIA DE CÁLCULO'!D299</f>
        <v xml:space="preserve">Umidificador de oxigênio - material: frasco em PVC atóxico ou similar, capacidade mínima: 250 ml, características adicionais: graduado, de forma a permitir uma fácil visualização, tampa de rosca e orifício para saída do oxigênio em plástico resistente ou material similar, de acordo com as normas da ABNT, borboleta de conexão confeccionada externamente em plástico ou similar, e internamente em metal, que proporcione um perfeito encaixe, com sistema de selagem, para evitar vazamentos. Embalagem contendo identificação, mês e ano de fabricação e validade, e registro em órgão competente. </v>
      </c>
      <c r="E298" s="33" t="str">
        <f>'APÊNDICE II-MEMÓRIA DE CÁLCULO'!E299</f>
        <v>UNIDADE</v>
      </c>
      <c r="F298" s="35">
        <f>'APÊNDICE II-MEMÓRIA DE CÁLCULO'!L299</f>
        <v>52</v>
      </c>
      <c r="G298" s="25" t="s">
        <v>31</v>
      </c>
      <c r="H298" s="54" t="s">
        <v>31</v>
      </c>
      <c r="I298" s="37" t="s">
        <v>31</v>
      </c>
      <c r="J298" s="73" t="s">
        <v>810</v>
      </c>
      <c r="K298" s="66">
        <v>5</v>
      </c>
      <c r="L298" s="67">
        <v>19.559999999999999</v>
      </c>
      <c r="M298" s="63" t="s">
        <v>623</v>
      </c>
      <c r="N298" s="66">
        <v>1</v>
      </c>
      <c r="O298" s="67">
        <v>17.97</v>
      </c>
      <c r="P298" s="68" t="s">
        <v>802</v>
      </c>
      <c r="Q298" s="66">
        <v>1</v>
      </c>
      <c r="R298" s="67">
        <v>18.75</v>
      </c>
      <c r="S298" s="68" t="s">
        <v>761</v>
      </c>
      <c r="T298" s="66">
        <v>1</v>
      </c>
      <c r="U298" s="67">
        <v>20.010000000000002</v>
      </c>
      <c r="V298" s="37">
        <f t="shared" si="45"/>
        <v>0.78039653382110885</v>
      </c>
      <c r="W298" s="58">
        <f t="shared" si="46"/>
        <v>4.0917369711422666E-2</v>
      </c>
      <c r="X298" s="23">
        <f>ROUND(SUM(L298*K298,O298*N298,R298*Q298,U298*T298,)/SUM(K298,N298,Q298,T298,),2)</f>
        <v>19.32</v>
      </c>
      <c r="Y298" s="38">
        <f t="shared" si="44"/>
        <v>1004.64</v>
      </c>
      <c r="Z298" s="6">
        <f t="shared" si="47"/>
        <v>18.75</v>
      </c>
      <c r="AA298" s="5">
        <f t="shared" si="48"/>
        <v>19.072500000000002</v>
      </c>
      <c r="AB298" s="8">
        <f t="shared" si="49"/>
        <v>0.78039653382110885</v>
      </c>
      <c r="AC298" s="7">
        <f t="shared" si="50"/>
        <v>4.0917369711422666E-2</v>
      </c>
      <c r="AD298" s="5"/>
      <c r="AE298" s="5"/>
    </row>
    <row r="299" spans="1:31" ht="111" customHeight="1" x14ac:dyDescent="0.3">
      <c r="A299" s="26">
        <v>295</v>
      </c>
      <c r="B299" s="32">
        <f>'APÊNDICE II-MEMÓRIA DE CÁLCULO'!B300</f>
        <v>12565</v>
      </c>
      <c r="C299" s="33">
        <f>'APÊNDICE II-MEMÓRIA DE CÁLCULO'!C300</f>
        <v>385777</v>
      </c>
      <c r="D299" s="34" t="str">
        <f>'APÊNDICE II-MEMÓRIA DE CÁLCULO'!D300</f>
        <v xml:space="preserve">Urinol masculino - capacidade: 1000 ML, modelo: papagaio, material: inox, aplicação: coletor de urina para pessoas acamadas com dificuldades para locomoção. </v>
      </c>
      <c r="E299" s="33" t="str">
        <f>'APÊNDICE II-MEMÓRIA DE CÁLCULO'!E300</f>
        <v>UNIDADE</v>
      </c>
      <c r="F299" s="35">
        <f>'APÊNDICE II-MEMÓRIA DE CÁLCULO'!L300</f>
        <v>10</v>
      </c>
      <c r="G299" s="63" t="s">
        <v>809</v>
      </c>
      <c r="H299" s="64">
        <v>8</v>
      </c>
      <c r="I299" s="67">
        <v>129.03</v>
      </c>
      <c r="J299" s="73" t="s">
        <v>810</v>
      </c>
      <c r="K299" s="66">
        <v>1</v>
      </c>
      <c r="L299" s="67">
        <v>188</v>
      </c>
      <c r="M299" s="63" t="s">
        <v>491</v>
      </c>
      <c r="N299" s="66">
        <v>1</v>
      </c>
      <c r="O299" s="67">
        <v>168.9</v>
      </c>
      <c r="P299" s="68" t="s">
        <v>362</v>
      </c>
      <c r="Q299" s="66">
        <v>1</v>
      </c>
      <c r="R299" s="67">
        <v>234</v>
      </c>
      <c r="S299" s="68" t="s">
        <v>785</v>
      </c>
      <c r="T299" s="66">
        <v>1</v>
      </c>
      <c r="U299" s="67">
        <v>130</v>
      </c>
      <c r="V299" s="37">
        <f t="shared" si="45"/>
        <v>39.242196472674657</v>
      </c>
      <c r="W299" s="58">
        <f t="shared" si="46"/>
        <v>0.23085546146550098</v>
      </c>
      <c r="X299" s="23">
        <f>ROUND(SUM(I299*H299,L299*K299,O299*N299,R299*Q299,U299*T299,)/SUM(H299,K299,N299,Q299,T299,),2)</f>
        <v>146.1</v>
      </c>
      <c r="Y299" s="38">
        <f t="shared" si="44"/>
        <v>1461</v>
      </c>
      <c r="Z299" s="6">
        <f t="shared" si="47"/>
        <v>149.44999999999999</v>
      </c>
      <c r="AA299" s="5">
        <f t="shared" si="48"/>
        <v>169.98600000000002</v>
      </c>
      <c r="AB299" s="8">
        <f t="shared" si="49"/>
        <v>39.242196472674657</v>
      </c>
      <c r="AC299" s="7">
        <f t="shared" si="50"/>
        <v>0.23085546146550098</v>
      </c>
      <c r="AD299" s="5"/>
      <c r="AE299" s="5"/>
    </row>
    <row r="300" spans="1:31" ht="111" customHeight="1" x14ac:dyDescent="0.3">
      <c r="A300" s="26">
        <v>296</v>
      </c>
      <c r="B300" s="32">
        <f>'APÊNDICE II-MEMÓRIA DE CÁLCULO'!B301</f>
        <v>12566</v>
      </c>
      <c r="C300" s="33">
        <f>'APÊNDICE II-MEMÓRIA DE CÁLCULO'!C301</f>
        <v>385756</v>
      </c>
      <c r="D300" s="34" t="str">
        <f>'APÊNDICE II-MEMÓRIA DE CÁLCULO'!D301</f>
        <v>Urinol feminino - capacidade mínima: 3,5 L, modelo: comadre estilo pá, material: inox, aplicação: coletor de urina para pessoas acamadas com dificuldades para locomoção.</v>
      </c>
      <c r="E300" s="33" t="str">
        <f>'APÊNDICE II-MEMÓRIA DE CÁLCULO'!E301</f>
        <v>UNIDADE</v>
      </c>
      <c r="F300" s="35">
        <f>'APÊNDICE II-MEMÓRIA DE CÁLCULO'!L301</f>
        <v>10</v>
      </c>
      <c r="G300" s="63" t="s">
        <v>809</v>
      </c>
      <c r="H300" s="64">
        <v>1</v>
      </c>
      <c r="I300" s="67">
        <v>218.97</v>
      </c>
      <c r="J300" s="73" t="s">
        <v>810</v>
      </c>
      <c r="K300" s="66">
        <v>2</v>
      </c>
      <c r="L300" s="67">
        <v>159.1</v>
      </c>
      <c r="M300" s="63" t="s">
        <v>492</v>
      </c>
      <c r="N300" s="66">
        <v>1</v>
      </c>
      <c r="O300" s="67">
        <v>172.6</v>
      </c>
      <c r="P300" s="68" t="s">
        <v>400</v>
      </c>
      <c r="Q300" s="66">
        <v>1</v>
      </c>
      <c r="R300" s="67">
        <v>260.17</v>
      </c>
      <c r="S300" s="68" t="s">
        <v>803</v>
      </c>
      <c r="T300" s="66">
        <v>1</v>
      </c>
      <c r="U300" s="67">
        <v>196.99</v>
      </c>
      <c r="V300" s="37">
        <f t="shared" si="45"/>
        <v>35.778927094031175</v>
      </c>
      <c r="W300" s="58">
        <f t="shared" si="46"/>
        <v>0.17750477309680787</v>
      </c>
      <c r="X300" s="23">
        <f>ROUND(SUM(I300*H300,L300*K300,O300*N300,R300*Q300,U300*T300,)/SUM(H300,K300,N300,Q300,T300,),2)</f>
        <v>194.49</v>
      </c>
      <c r="Y300" s="38">
        <f t="shared" si="44"/>
        <v>1944.9</v>
      </c>
      <c r="Z300" s="6">
        <f t="shared" si="47"/>
        <v>184.79500000000002</v>
      </c>
      <c r="AA300" s="5">
        <f t="shared" si="48"/>
        <v>201.566</v>
      </c>
      <c r="AB300" s="8">
        <f t="shared" si="49"/>
        <v>35.778927094031175</v>
      </c>
      <c r="AC300" s="7">
        <f t="shared" si="50"/>
        <v>0.17750477309680787</v>
      </c>
      <c r="AD300" s="5"/>
      <c r="AE300" s="5"/>
    </row>
    <row r="301" spans="1:31" ht="111" customHeight="1" x14ac:dyDescent="0.3">
      <c r="A301" s="26">
        <v>297</v>
      </c>
      <c r="B301" s="32">
        <f>'APÊNDICE II-MEMÓRIA DE CÁLCULO'!B302</f>
        <v>12567</v>
      </c>
      <c r="C301" s="33" t="str">
        <f>'APÊNDICE II-MEMÓRIA DE CÁLCULO'!C302</f>
        <v>-</v>
      </c>
      <c r="D301" s="34" t="str">
        <f>'APÊNDICE II-MEMÓRIA DE CÁLCULO'!D302</f>
        <v>Mini Incubadora - a vapor, com capacidade de incubar 06 indicadores biológicos, voltagem de 220V.</v>
      </c>
      <c r="E301" s="33" t="str">
        <f>'APÊNDICE II-MEMÓRIA DE CÁLCULO'!E302</f>
        <v>UNIDADE</v>
      </c>
      <c r="F301" s="35">
        <f>'APÊNDICE II-MEMÓRIA DE CÁLCULO'!L302</f>
        <v>2</v>
      </c>
      <c r="G301" s="63" t="s">
        <v>809</v>
      </c>
      <c r="H301" s="64">
        <v>5</v>
      </c>
      <c r="I301" s="67">
        <v>127.31</v>
      </c>
      <c r="J301" s="56" t="s">
        <v>31</v>
      </c>
      <c r="K301" s="55" t="s">
        <v>31</v>
      </c>
      <c r="L301" s="37" t="s">
        <v>31</v>
      </c>
      <c r="M301" s="63" t="s">
        <v>493</v>
      </c>
      <c r="N301" s="66">
        <v>1</v>
      </c>
      <c r="O301" s="67">
        <v>165</v>
      </c>
      <c r="P301" s="68" t="s">
        <v>804</v>
      </c>
      <c r="Q301" s="66">
        <v>1</v>
      </c>
      <c r="R301" s="67">
        <v>120</v>
      </c>
      <c r="S301" s="68" t="s">
        <v>380</v>
      </c>
      <c r="T301" s="66">
        <v>1</v>
      </c>
      <c r="U301" s="67">
        <v>175.9</v>
      </c>
      <c r="V301" s="37">
        <f t="shared" si="45"/>
        <v>23.853171041813251</v>
      </c>
      <c r="W301" s="58">
        <f t="shared" si="46"/>
        <v>0.16220853805146632</v>
      </c>
      <c r="X301" s="23">
        <f>ROUND(SUM(I301*H301,O301*N301,R301*Q301,U301*T301,)/SUM(H301,N301,Q301,T301,),2)</f>
        <v>137.18</v>
      </c>
      <c r="Y301" s="38">
        <f t="shared" si="44"/>
        <v>274.36</v>
      </c>
      <c r="Z301" s="6">
        <f t="shared" si="47"/>
        <v>127.31</v>
      </c>
      <c r="AA301" s="5">
        <f t="shared" si="48"/>
        <v>147.05250000000001</v>
      </c>
      <c r="AB301" s="8">
        <f t="shared" si="49"/>
        <v>23.853171041813251</v>
      </c>
      <c r="AC301" s="7">
        <f t="shared" si="50"/>
        <v>0.16220853805146632</v>
      </c>
      <c r="AD301" s="5"/>
      <c r="AE301" s="5"/>
    </row>
    <row r="302" spans="1:31" ht="111" customHeight="1" x14ac:dyDescent="0.3">
      <c r="A302" s="26">
        <v>298</v>
      </c>
      <c r="B302" s="32">
        <f>'APÊNDICE II-MEMÓRIA DE CÁLCULO'!B303</f>
        <v>16607</v>
      </c>
      <c r="C302" s="33">
        <f>'APÊNDICE II-MEMÓRIA DE CÁLCULO'!C303</f>
        <v>436058</v>
      </c>
      <c r="D302" s="34" t="str">
        <f>'APÊNDICE II-MEMÓRIA DE CÁLCULO'!D303</f>
        <v xml:space="preserve">Indicador biológico - para esterilização a vapor, automático, com leitura em 24 horas,  ampola de vidro lacrada e quebrável, contendo data de fabricação, validade, e número de lote. </v>
      </c>
      <c r="E302" s="33" t="str">
        <f>'APÊNDICE II-MEMÓRIA DE CÁLCULO'!E303</f>
        <v>UNIDADE</v>
      </c>
      <c r="F302" s="35">
        <f>'APÊNDICE II-MEMÓRIA DE CÁLCULO'!L303</f>
        <v>720</v>
      </c>
      <c r="G302" s="63" t="s">
        <v>809</v>
      </c>
      <c r="H302" s="64">
        <v>1</v>
      </c>
      <c r="I302" s="67">
        <v>5.5</v>
      </c>
      <c r="J302" s="56" t="s">
        <v>31</v>
      </c>
      <c r="K302" s="55" t="s">
        <v>31</v>
      </c>
      <c r="L302" s="37" t="s">
        <v>31</v>
      </c>
      <c r="M302" s="63" t="s">
        <v>499</v>
      </c>
      <c r="N302" s="66">
        <v>1</v>
      </c>
      <c r="O302" s="67">
        <v>4.6900000000000004</v>
      </c>
      <c r="P302" s="68" t="s">
        <v>700</v>
      </c>
      <c r="Q302" s="66">
        <v>1</v>
      </c>
      <c r="R302" s="67">
        <v>3.99</v>
      </c>
      <c r="S302" s="68" t="s">
        <v>919</v>
      </c>
      <c r="T302" s="66">
        <v>1</v>
      </c>
      <c r="U302" s="67">
        <v>4.54</v>
      </c>
      <c r="V302" s="37">
        <f t="shared" si="45"/>
        <v>0.54041650603954783</v>
      </c>
      <c r="W302" s="58">
        <f t="shared" si="46"/>
        <v>0.11547361240161277</v>
      </c>
      <c r="X302" s="23">
        <f>ROUND(SUM(I302*H302,O302*N302,R302*Q302,U302*T302,)/SUM(H302,N302,Q302,T302,),2)</f>
        <v>4.68</v>
      </c>
      <c r="Y302" s="38">
        <f t="shared" si="44"/>
        <v>3369.6</v>
      </c>
      <c r="Z302" s="6">
        <f t="shared" si="47"/>
        <v>4.54</v>
      </c>
      <c r="AA302" s="5">
        <f t="shared" si="48"/>
        <v>4.6800000000000006</v>
      </c>
      <c r="AB302" s="8">
        <f t="shared" si="49"/>
        <v>0.54041650603954783</v>
      </c>
      <c r="AC302" s="7">
        <f t="shared" si="50"/>
        <v>0.11547361240161277</v>
      </c>
      <c r="AD302" s="5"/>
      <c r="AE302" s="5"/>
    </row>
    <row r="303" spans="1:31" ht="111" customHeight="1" x14ac:dyDescent="0.3">
      <c r="A303" s="26">
        <v>299</v>
      </c>
      <c r="B303" s="32">
        <f>'APÊNDICE II-MEMÓRIA DE CÁLCULO'!B304</f>
        <v>12569</v>
      </c>
      <c r="C303" s="33">
        <f>'APÊNDICE II-MEMÓRIA DE CÁLCULO'!C304</f>
        <v>301510</v>
      </c>
      <c r="D303" s="34" t="str">
        <f>'APÊNDICE II-MEMÓRIA DE CÁLCULO'!D304</f>
        <v xml:space="preserve">Cal sodada (absorvidor de co²) - aspecto físico granulado, cor branca, uso anestesia.Embalagem com  no mínimo 4,5 kg, contendo registro no ministério da saúde. </v>
      </c>
      <c r="E303" s="33" t="str">
        <f>'APÊNDICE II-MEMÓRIA DE CÁLCULO'!E304</f>
        <v>UNIDADE</v>
      </c>
      <c r="F303" s="35">
        <f>'APÊNDICE II-MEMÓRIA DE CÁLCULO'!L304</f>
        <v>10</v>
      </c>
      <c r="G303" s="63" t="s">
        <v>809</v>
      </c>
      <c r="H303" s="64">
        <v>1</v>
      </c>
      <c r="I303" s="67">
        <v>130.66</v>
      </c>
      <c r="J303" s="73" t="s">
        <v>810</v>
      </c>
      <c r="K303" s="66">
        <v>2</v>
      </c>
      <c r="L303" s="67">
        <v>170</v>
      </c>
      <c r="M303" s="63" t="s">
        <v>494</v>
      </c>
      <c r="N303" s="66">
        <v>1</v>
      </c>
      <c r="O303" s="67">
        <v>160</v>
      </c>
      <c r="P303" s="68" t="s">
        <v>685</v>
      </c>
      <c r="Q303" s="66">
        <v>1</v>
      </c>
      <c r="R303" s="67">
        <v>220.96</v>
      </c>
      <c r="S303" s="40" t="s">
        <v>31</v>
      </c>
      <c r="T303" s="55" t="s">
        <v>31</v>
      </c>
      <c r="U303" s="37" t="s">
        <v>31</v>
      </c>
      <c r="V303" s="37">
        <f t="shared" si="45"/>
        <v>32.572615415406858</v>
      </c>
      <c r="W303" s="58">
        <f t="shared" si="46"/>
        <v>0.19114823752476076</v>
      </c>
      <c r="X303" s="23">
        <f>ROUND(SUM(I303*H303,L303*K303,O303*N303,R303*Q303,)/SUM(H303,K303,N303,Q303,),2)</f>
        <v>170.32</v>
      </c>
      <c r="Y303" s="38">
        <f t="shared" si="44"/>
        <v>1703.1999999999998</v>
      </c>
      <c r="Z303" s="6">
        <f t="shared" si="47"/>
        <v>160</v>
      </c>
      <c r="AA303" s="5">
        <f t="shared" si="48"/>
        <v>170.405</v>
      </c>
      <c r="AB303" s="8">
        <f t="shared" si="49"/>
        <v>32.572615415406858</v>
      </c>
      <c r="AC303" s="7">
        <f t="shared" si="50"/>
        <v>0.19114823752476076</v>
      </c>
      <c r="AD303" s="5"/>
      <c r="AE303" s="5"/>
    </row>
    <row r="304" spans="1:31" ht="111" customHeight="1" x14ac:dyDescent="0.3">
      <c r="A304" s="26">
        <v>300</v>
      </c>
      <c r="B304" s="32">
        <f>'APÊNDICE II-MEMÓRIA DE CÁLCULO'!B305</f>
        <v>11706</v>
      </c>
      <c r="C304" s="33" t="str">
        <f>'APÊNDICE II-MEMÓRIA DE CÁLCULO'!C305</f>
        <v>-</v>
      </c>
      <c r="D304" s="34" t="str">
        <f>'APÊNDICE II-MEMÓRIA DE CÁLCULO'!D305</f>
        <v>APARELHO DE SONAR – (DETECTOR FETAL) PORTÁTIL digital com bateria recarregável, carregador, gabinete e transdutor confeccionado em plástico ABS, 04 (quatro) modos de funcionamento, indicador de batimento cardíaco fetal, saída para fone de ouvido, alojamento para transdutor na lateral do aparelho. Botão liga e desliga. Com registro ANVISA. Garantia mínima de 12 (doze) meses. 
.</v>
      </c>
      <c r="E304" s="33" t="str">
        <f>'APÊNDICE II-MEMÓRIA DE CÁLCULO'!E305</f>
        <v>UNIDADE</v>
      </c>
      <c r="F304" s="35">
        <f>'APÊNDICE II-MEMÓRIA DE CÁLCULO'!L305</f>
        <v>10</v>
      </c>
      <c r="G304" s="63" t="s">
        <v>809</v>
      </c>
      <c r="H304" s="64">
        <v>1</v>
      </c>
      <c r="I304" s="67">
        <v>370</v>
      </c>
      <c r="J304" s="73" t="s">
        <v>810</v>
      </c>
      <c r="K304" s="66">
        <v>5</v>
      </c>
      <c r="L304" s="67">
        <v>677.13</v>
      </c>
      <c r="M304" s="40" t="s">
        <v>31</v>
      </c>
      <c r="N304" s="55" t="s">
        <v>31</v>
      </c>
      <c r="O304" s="37" t="s">
        <v>31</v>
      </c>
      <c r="P304" s="68" t="s">
        <v>782</v>
      </c>
      <c r="Q304" s="66">
        <v>1</v>
      </c>
      <c r="R304" s="67">
        <v>690</v>
      </c>
      <c r="S304" s="68" t="s">
        <v>805</v>
      </c>
      <c r="T304" s="66">
        <v>1</v>
      </c>
      <c r="U304" s="67">
        <v>659.9</v>
      </c>
      <c r="V304" s="37">
        <f t="shared" si="45"/>
        <v>132.7919817562414</v>
      </c>
      <c r="W304" s="58">
        <f t="shared" si="46"/>
        <v>0.22159419240683911</v>
      </c>
      <c r="X304" s="23">
        <f t="shared" ref="X304:X309" si="51">ROUND(SUM(I304*H304,L304*K304,R304*Q304,U304*T304,)/SUM(H304,K304,Q304,T304,),2)</f>
        <v>638.19000000000005</v>
      </c>
      <c r="Y304" s="38">
        <f t="shared" si="44"/>
        <v>6381.9000000000005</v>
      </c>
      <c r="Z304" s="6">
        <f t="shared" si="47"/>
        <v>659.9</v>
      </c>
      <c r="AA304" s="5">
        <f t="shared" si="48"/>
        <v>599.25750000000005</v>
      </c>
      <c r="AB304" s="8">
        <f t="shared" si="49"/>
        <v>132.7919817562414</v>
      </c>
      <c r="AC304" s="7">
        <f t="shared" si="50"/>
        <v>0.22159419240683911</v>
      </c>
      <c r="AD304" s="5"/>
      <c r="AE304" s="5"/>
    </row>
    <row r="305" spans="1:31" ht="111" customHeight="1" x14ac:dyDescent="0.3">
      <c r="A305" s="26">
        <v>301</v>
      </c>
      <c r="B305" s="32">
        <f>'APÊNDICE II-MEMÓRIA DE CÁLCULO'!B306</f>
        <v>16349</v>
      </c>
      <c r="C305" s="33" t="str">
        <f>'APÊNDICE II-MEMÓRIA DE CÁLCULO'!C306</f>
        <v>-</v>
      </c>
      <c r="D305" s="34" t="str">
        <f>'APÊNDICE II-MEMÓRIA DE CÁLCULO'!D306</f>
        <v>APARELHO DE PRESSÃO DIGITAL AUTOMÁTICO DE BRAÇO - com 01 (uma) braçadeira tamanho universal para circunferência de braço de 23 a 43cm, display em LCD, indicador de categoria de pressão arterial, entrada para cabo USB 5V;1A, Botão liga/desliga, botão de configuração, entrada para conexão da braçadeira, funciona com pilha alcalina AAA. Garantia de 12 meses.</v>
      </c>
      <c r="E305" s="33" t="str">
        <f>'APÊNDICE II-MEMÓRIA DE CÁLCULO'!E306</f>
        <v>UNIDADE</v>
      </c>
      <c r="F305" s="35">
        <f>'APÊNDICE II-MEMÓRIA DE CÁLCULO'!L306</f>
        <v>10</v>
      </c>
      <c r="G305" s="63" t="s">
        <v>809</v>
      </c>
      <c r="H305" s="64">
        <v>7</v>
      </c>
      <c r="I305" s="67">
        <v>116.16</v>
      </c>
      <c r="J305" s="73" t="s">
        <v>810</v>
      </c>
      <c r="K305" s="66">
        <v>7</v>
      </c>
      <c r="L305" s="67">
        <v>145.75</v>
      </c>
      <c r="M305" s="40" t="s">
        <v>31</v>
      </c>
      <c r="N305" s="55" t="s">
        <v>31</v>
      </c>
      <c r="O305" s="37" t="s">
        <v>31</v>
      </c>
      <c r="P305" s="68" t="s">
        <v>806</v>
      </c>
      <c r="Q305" s="66">
        <v>1</v>
      </c>
      <c r="R305" s="67">
        <v>156</v>
      </c>
      <c r="S305" s="68" t="s">
        <v>807</v>
      </c>
      <c r="T305" s="66">
        <v>1</v>
      </c>
      <c r="U305" s="67">
        <v>114.1</v>
      </c>
      <c r="V305" s="37">
        <f t="shared" si="45"/>
        <v>18.25074022471415</v>
      </c>
      <c r="W305" s="58">
        <f t="shared" si="46"/>
        <v>0.13722103136944155</v>
      </c>
      <c r="X305" s="23">
        <f t="shared" si="51"/>
        <v>131.47</v>
      </c>
      <c r="Y305" s="38">
        <f t="shared" si="44"/>
        <v>1314.7</v>
      </c>
      <c r="Z305" s="6">
        <f t="shared" si="47"/>
        <v>116.16</v>
      </c>
      <c r="AA305" s="5">
        <f t="shared" si="48"/>
        <v>133.0025</v>
      </c>
      <c r="AB305" s="8">
        <f t="shared" si="49"/>
        <v>18.25074022471415</v>
      </c>
      <c r="AC305" s="7">
        <f t="shared" si="50"/>
        <v>0.13722103136944155</v>
      </c>
      <c r="AD305" s="5"/>
      <c r="AE305" s="5"/>
    </row>
    <row r="306" spans="1:31" ht="111" customHeight="1" x14ac:dyDescent="0.3">
      <c r="A306" s="26">
        <v>302</v>
      </c>
      <c r="B306" s="32">
        <f>'APÊNDICE II-MEMÓRIA DE CÁLCULO'!B307</f>
        <v>2591</v>
      </c>
      <c r="C306" s="33">
        <f>'APÊNDICE II-MEMÓRIA DE CÁLCULO'!C307</f>
        <v>372895</v>
      </c>
      <c r="D306" s="34" t="str">
        <f>'APÊNDICE II-MEMÓRIA DE CÁLCULO'!D307</f>
        <v>BALANÇA DIGITAL - com plataforma de vidro temperado mínimo 6MM, visor digital com capacidade de peso de até 150 KG. Alimentação por bateria. Em conformidade com o INMETRO.</v>
      </c>
      <c r="E306" s="33" t="str">
        <f>'APÊNDICE II-MEMÓRIA DE CÁLCULO'!E307</f>
        <v>UNIDADE</v>
      </c>
      <c r="F306" s="35">
        <f>'APÊNDICE II-MEMÓRIA DE CÁLCULO'!L307</f>
        <v>10</v>
      </c>
      <c r="G306" s="63" t="s">
        <v>809</v>
      </c>
      <c r="H306" s="64">
        <v>2</v>
      </c>
      <c r="I306" s="67">
        <v>90</v>
      </c>
      <c r="J306" s="73" t="s">
        <v>810</v>
      </c>
      <c r="K306" s="66">
        <v>3</v>
      </c>
      <c r="L306" s="67">
        <v>129.66999999999999</v>
      </c>
      <c r="M306" s="40" t="s">
        <v>31</v>
      </c>
      <c r="N306" s="55" t="s">
        <v>31</v>
      </c>
      <c r="O306" s="37" t="s">
        <v>31</v>
      </c>
      <c r="P306" s="68" t="s">
        <v>782</v>
      </c>
      <c r="Q306" s="66">
        <v>1</v>
      </c>
      <c r="R306" s="67">
        <v>170.21</v>
      </c>
      <c r="S306" s="68" t="s">
        <v>924</v>
      </c>
      <c r="T306" s="66">
        <v>1</v>
      </c>
      <c r="U306" s="67">
        <v>103.7</v>
      </c>
      <c r="V306" s="37">
        <f t="shared" si="45"/>
        <v>30.553800500101449</v>
      </c>
      <c r="W306" s="58">
        <f t="shared" si="46"/>
        <v>0.24760971271203408</v>
      </c>
      <c r="X306" s="23">
        <f t="shared" si="51"/>
        <v>120.42</v>
      </c>
      <c r="Y306" s="38">
        <f t="shared" si="44"/>
        <v>1204.2</v>
      </c>
      <c r="Z306" s="6">
        <f t="shared" si="47"/>
        <v>103.7</v>
      </c>
      <c r="AA306" s="5">
        <f t="shared" si="48"/>
        <v>123.39500000000001</v>
      </c>
      <c r="AB306" s="8">
        <f t="shared" si="49"/>
        <v>30.553800500101449</v>
      </c>
      <c r="AC306" s="7">
        <f t="shared" si="50"/>
        <v>0.24760971271203408</v>
      </c>
      <c r="AD306" s="5"/>
      <c r="AE306" s="5"/>
    </row>
    <row r="307" spans="1:31" ht="111" customHeight="1" x14ac:dyDescent="0.3">
      <c r="A307" s="26">
        <v>303</v>
      </c>
      <c r="B307" s="32">
        <f>'APÊNDICE II-MEMÓRIA DE CÁLCULO'!B308</f>
        <v>4231</v>
      </c>
      <c r="C307" s="33" t="str">
        <f>'APÊNDICE II-MEMÓRIA DE CÁLCULO'!C308</f>
        <v>-</v>
      </c>
      <c r="D307" s="34" t="str">
        <f>'APÊNDICE II-MEMÓRIA DE CÁLCULO'!D308</f>
        <v>OTOSCÓPIO – com cabo em material cromado inoxidável para duas pilhas comuns (inclusas), revestido por capa antiderrapante para melhor empunhadura, cabeçote com lâmpada, regulador de alta e baixa luminosidade, visor móvel, lâmpada incandescente de 2,5 v. garantia mínima de 12 (doze) meses. Com registro na ANVISA.</v>
      </c>
      <c r="E307" s="33" t="str">
        <f>'APÊNDICE II-MEMÓRIA DE CÁLCULO'!E308</f>
        <v>UNIDADE</v>
      </c>
      <c r="F307" s="35">
        <f>'APÊNDICE II-MEMÓRIA DE CÁLCULO'!L308</f>
        <v>15</v>
      </c>
      <c r="G307" s="63" t="s">
        <v>809</v>
      </c>
      <c r="H307" s="64">
        <v>10</v>
      </c>
      <c r="I307" s="67">
        <v>202.67</v>
      </c>
      <c r="J307" s="73" t="s">
        <v>810</v>
      </c>
      <c r="K307" s="66">
        <v>1</v>
      </c>
      <c r="L307" s="67">
        <v>200</v>
      </c>
      <c r="M307" s="40" t="s">
        <v>31</v>
      </c>
      <c r="N307" s="55" t="s">
        <v>31</v>
      </c>
      <c r="O307" s="37" t="s">
        <v>31</v>
      </c>
      <c r="P307" s="68" t="s">
        <v>835</v>
      </c>
      <c r="Q307" s="66">
        <v>1</v>
      </c>
      <c r="R307" s="67">
        <v>329.89</v>
      </c>
      <c r="S307" s="68" t="s">
        <v>398</v>
      </c>
      <c r="T307" s="66">
        <v>1</v>
      </c>
      <c r="U307" s="67">
        <v>297.95</v>
      </c>
      <c r="V307" s="37">
        <f t="shared" si="45"/>
        <v>57.421747785573366</v>
      </c>
      <c r="W307" s="58">
        <f t="shared" si="46"/>
        <v>0.22288671739458468</v>
      </c>
      <c r="X307" s="23">
        <f t="shared" si="51"/>
        <v>219.58</v>
      </c>
      <c r="Y307" s="38">
        <f t="shared" si="44"/>
        <v>3293.7000000000003</v>
      </c>
      <c r="Z307" s="6">
        <f t="shared" si="47"/>
        <v>202.67</v>
      </c>
      <c r="AA307" s="5">
        <f t="shared" si="48"/>
        <v>257.6275</v>
      </c>
      <c r="AB307" s="8">
        <f t="shared" si="49"/>
        <v>57.421747785573366</v>
      </c>
      <c r="AC307" s="7">
        <f t="shared" si="50"/>
        <v>0.22288671739458468</v>
      </c>
      <c r="AD307" s="5"/>
      <c r="AE307" s="5"/>
    </row>
    <row r="308" spans="1:31" ht="111" customHeight="1" x14ac:dyDescent="0.3">
      <c r="A308" s="26">
        <v>304</v>
      </c>
      <c r="B308" s="32">
        <f>'APÊNDICE II-MEMÓRIA DE CÁLCULO'!B309</f>
        <v>16350</v>
      </c>
      <c r="C308" s="33" t="str">
        <f>'APÊNDICE II-MEMÓRIA DE CÁLCULO'!C309</f>
        <v>-</v>
      </c>
      <c r="D308" s="34" t="str">
        <f>'APÊNDICE II-MEMÓRIA DE CÁLCULO'!D309</f>
        <v>SUPORTE DE PERFURO CORTANTE - suporte para depósito de papelão p/20 litros pintado suporte para descarte 20 (vinte) litros confeccionado em aço com pintura eletrostática, na cor branco, pode ser fixado em parede, acompanha 02 pares de escápulas e buchas. Para melhor uso manter o suporte fixado com no mínimo 1,20 m do chão ou podendo ser usado em bancada.</v>
      </c>
      <c r="E308" s="33" t="str">
        <f>'APÊNDICE II-MEMÓRIA DE CÁLCULO'!E309</f>
        <v>UNIDADE</v>
      </c>
      <c r="F308" s="35">
        <f>'APÊNDICE II-MEMÓRIA DE CÁLCULO'!L309</f>
        <v>20</v>
      </c>
      <c r="G308" s="63" t="s">
        <v>809</v>
      </c>
      <c r="H308" s="64">
        <v>5</v>
      </c>
      <c r="I308" s="67">
        <v>24.68</v>
      </c>
      <c r="J308" s="73" t="s">
        <v>810</v>
      </c>
      <c r="K308" s="66">
        <v>2</v>
      </c>
      <c r="L308" s="67">
        <v>28.03</v>
      </c>
      <c r="M308" s="40" t="s">
        <v>31</v>
      </c>
      <c r="N308" s="55" t="s">
        <v>31</v>
      </c>
      <c r="O308" s="37" t="s">
        <v>31</v>
      </c>
      <c r="P308" s="68" t="s">
        <v>808</v>
      </c>
      <c r="Q308" s="66">
        <v>1</v>
      </c>
      <c r="R308" s="67">
        <v>34.299999999999997</v>
      </c>
      <c r="S308" s="68" t="s">
        <v>396</v>
      </c>
      <c r="T308" s="66">
        <v>1</v>
      </c>
      <c r="U308" s="67">
        <v>31.45</v>
      </c>
      <c r="V308" s="37">
        <f t="shared" si="45"/>
        <v>3.611886626127689</v>
      </c>
      <c r="W308" s="58">
        <f t="shared" si="46"/>
        <v>0.12196139206914365</v>
      </c>
      <c r="X308" s="23">
        <f t="shared" si="51"/>
        <v>27.25</v>
      </c>
      <c r="Y308" s="38">
        <f t="shared" si="44"/>
        <v>545</v>
      </c>
      <c r="Z308" s="6">
        <f t="shared" si="47"/>
        <v>28.03</v>
      </c>
      <c r="AA308" s="5">
        <f t="shared" si="48"/>
        <v>29.614999999999998</v>
      </c>
      <c r="AB308" s="8">
        <f t="shared" si="49"/>
        <v>3.611886626127689</v>
      </c>
      <c r="AC308" s="7">
        <f t="shared" si="50"/>
        <v>0.12196139206914365</v>
      </c>
      <c r="AD308" s="5"/>
      <c r="AE308" s="5"/>
    </row>
    <row r="309" spans="1:31" ht="111" customHeight="1" x14ac:dyDescent="0.3">
      <c r="A309" s="26">
        <v>305</v>
      </c>
      <c r="B309" s="32">
        <f>'APÊNDICE II-MEMÓRIA DE CÁLCULO'!B310</f>
        <v>16352</v>
      </c>
      <c r="C309" s="33">
        <f>'APÊNDICE II-MEMÓRIA DE CÁLCULO'!C310</f>
        <v>616024</v>
      </c>
      <c r="D309" s="34" t="str">
        <f>'APÊNDICE II-MEMÓRIA DE CÁLCULO'!D310</f>
        <v>Fralda descartável infantil - TAMANHO 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12 a 15 kg   Referência: Pampers, Personalidade Baby, Huggies, Pompom, Mônica, Cremer ou similares.</v>
      </c>
      <c r="E309" s="33" t="str">
        <f>'APÊNDICE II-MEMÓRIA DE CÁLCULO'!E310</f>
        <v>UNIDADE</v>
      </c>
      <c r="F309" s="35">
        <f>'APÊNDICE II-MEMÓRIA DE CÁLCULO'!M310</f>
        <v>10000</v>
      </c>
      <c r="G309" s="119" t="s">
        <v>809</v>
      </c>
      <c r="H309" s="120">
        <v>17</v>
      </c>
      <c r="I309" s="121">
        <v>1.0900000000000001</v>
      </c>
      <c r="J309" s="119" t="s">
        <v>810</v>
      </c>
      <c r="K309" s="120">
        <v>1</v>
      </c>
      <c r="L309" s="121">
        <f>28.9/28</f>
        <v>1.032142857142857</v>
      </c>
      <c r="M309" s="32" t="s">
        <v>31</v>
      </c>
      <c r="N309" s="32" t="s">
        <v>31</v>
      </c>
      <c r="O309" s="32" t="s">
        <v>31</v>
      </c>
      <c r="P309" s="119" t="s">
        <v>356</v>
      </c>
      <c r="Q309" s="120">
        <v>1</v>
      </c>
      <c r="R309" s="121">
        <f>119.9/80</f>
        <v>1.49875</v>
      </c>
      <c r="S309" s="119" t="s">
        <v>695</v>
      </c>
      <c r="T309" s="120">
        <v>1</v>
      </c>
      <c r="U309" s="121">
        <v>1.45</v>
      </c>
      <c r="V309" s="37">
        <f t="shared" si="45"/>
        <v>0.20837577108160224</v>
      </c>
      <c r="W309" s="58">
        <f t="shared" si="46"/>
        <v>0.16437008389012539</v>
      </c>
      <c r="X309" s="23">
        <f t="shared" si="51"/>
        <v>1.1299999999999999</v>
      </c>
      <c r="Y309" s="38">
        <f t="shared" si="44"/>
        <v>11299.999999999998</v>
      </c>
      <c r="Z309" s="6">
        <f t="shared" si="47"/>
        <v>1.0900000000000001</v>
      </c>
      <c r="AA309" s="5">
        <f t="shared" si="48"/>
        <v>1.2677232142857142</v>
      </c>
      <c r="AB309" s="8">
        <f t="shared" si="49"/>
        <v>0.20837577108160224</v>
      </c>
      <c r="AC309" s="7">
        <f t="shared" si="50"/>
        <v>0.16437008389012539</v>
      </c>
    </row>
    <row r="310" spans="1:31" ht="111" customHeight="1" x14ac:dyDescent="0.3">
      <c r="A310" s="26">
        <v>306</v>
      </c>
      <c r="B310" s="32">
        <f>'APÊNDICE II-MEMÓRIA DE CÁLCULO'!B311</f>
        <v>16353</v>
      </c>
      <c r="C310" s="33" t="str">
        <f>'APÊNDICE II-MEMÓRIA DE CÁLCULO'!C311</f>
        <v>-</v>
      </c>
      <c r="D310" s="34" t="str">
        <f>'APÊNDICE II-MEMÓRIA DE CÁLCULO'!D311</f>
        <v>Fralda descartável infantil - TAMANHO EG/XXG  Fralda descartável de uso infantil, antialérgica, polpa de celulose, gel/flocos superabsorventes, cintura elástica sem tiras, formato anatômico, tipo roupinha, camada externa de polietileno e com barreira lateral antivazamento. Conforme norma ABNT – NBR – 14025 – Determinação resistência à Pressão d’água. Fralda para peso do bebê de 15 a 25 kg   Referência: Pampers, Personalidade Baby, Huggies, Pompom, Mônica, Cremer ou similares.</v>
      </c>
      <c r="E310" s="33" t="str">
        <f>'APÊNDICE II-MEMÓRIA DE CÁLCULO'!E311</f>
        <v>UNIDADE</v>
      </c>
      <c r="F310" s="35">
        <f>'APÊNDICE II-MEMÓRIA DE CÁLCULO'!M311</f>
        <v>5000</v>
      </c>
      <c r="G310" s="119" t="s">
        <v>809</v>
      </c>
      <c r="H310" s="120">
        <v>1</v>
      </c>
      <c r="I310" s="121">
        <v>0.98</v>
      </c>
      <c r="J310" s="26" t="s">
        <v>31</v>
      </c>
      <c r="K310" s="32" t="s">
        <v>31</v>
      </c>
      <c r="L310" s="116" t="s">
        <v>31</v>
      </c>
      <c r="M310" s="32" t="s">
        <v>31</v>
      </c>
      <c r="N310" s="32" t="s">
        <v>31</v>
      </c>
      <c r="O310" s="32" t="s">
        <v>31</v>
      </c>
      <c r="P310" s="119" t="s">
        <v>700</v>
      </c>
      <c r="Q310" s="120">
        <v>1</v>
      </c>
      <c r="R310" s="121">
        <f>19.69/14</f>
        <v>1.4064285714285716</v>
      </c>
      <c r="S310" s="119" t="s">
        <v>791</v>
      </c>
      <c r="T310" s="120">
        <v>1</v>
      </c>
      <c r="U310" s="121">
        <f>64.52/54</f>
        <v>1.1948148148148148</v>
      </c>
      <c r="V310" s="37">
        <f t="shared" si="45"/>
        <v>0.1740903702687269</v>
      </c>
      <c r="W310" s="58">
        <f t="shared" si="46"/>
        <v>0.14583513447099916</v>
      </c>
      <c r="X310" s="23">
        <f>ROUND(SUM(I310*H310,R310*Q310,U310*T310,)/SUM(H310,Q310,T310,),2)</f>
        <v>1.19</v>
      </c>
      <c r="Y310" s="38">
        <f t="shared" si="44"/>
        <v>5950</v>
      </c>
      <c r="Z310" s="6">
        <f t="shared" si="47"/>
        <v>1.0874074074074074</v>
      </c>
      <c r="AA310" s="5">
        <f t="shared" si="48"/>
        <v>1.1937477954144622</v>
      </c>
      <c r="AB310" s="8">
        <f t="shared" si="49"/>
        <v>0.1740903702687269</v>
      </c>
      <c r="AC310" s="7">
        <f t="shared" si="50"/>
        <v>0.14583513447099916</v>
      </c>
    </row>
    <row r="311" spans="1:31" ht="111" customHeight="1" x14ac:dyDescent="0.3">
      <c r="A311" s="26">
        <v>307</v>
      </c>
      <c r="B311" s="32">
        <f>'APÊNDICE II-MEMÓRIA DE CÁLCULO'!B312</f>
        <v>16354</v>
      </c>
      <c r="C311" s="33">
        <f>'APÊNDICE II-MEMÓRIA DE CÁLCULO'!C312</f>
        <v>604877</v>
      </c>
      <c r="D311" s="34" t="str">
        <f>'APÊNDICE II-MEMÓRIA DE CÁLCULO'!D312</f>
        <v>Tubo endotraqueal - tamanho: Nº 2,0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1" s="33" t="str">
        <f>'APÊNDICE II-MEMÓRIA DE CÁLCULO'!E312</f>
        <v>UNIDADE</v>
      </c>
      <c r="F311" s="35">
        <f>'APÊNDICE II-MEMÓRIA DE CÁLCULO'!L312</f>
        <v>20</v>
      </c>
      <c r="G311" s="119" t="s">
        <v>809</v>
      </c>
      <c r="H311" s="120">
        <v>3</v>
      </c>
      <c r="I311" s="121">
        <v>6.58</v>
      </c>
      <c r="J311" s="119" t="s">
        <v>810</v>
      </c>
      <c r="K311" s="120">
        <v>7</v>
      </c>
      <c r="L311" s="121">
        <v>5.07</v>
      </c>
      <c r="M311" s="32" t="s">
        <v>31</v>
      </c>
      <c r="N311" s="32" t="s">
        <v>31</v>
      </c>
      <c r="O311" s="32" t="s">
        <v>31</v>
      </c>
      <c r="P311" s="119" t="s">
        <v>700</v>
      </c>
      <c r="Q311" s="120">
        <v>1</v>
      </c>
      <c r="R311" s="121">
        <v>5.6</v>
      </c>
      <c r="S311" s="119" t="s">
        <v>340</v>
      </c>
      <c r="T311" s="120">
        <v>1</v>
      </c>
      <c r="U311" s="121">
        <v>4.68</v>
      </c>
      <c r="V311" s="37">
        <f t="shared" si="45"/>
        <v>0.71282448751428373</v>
      </c>
      <c r="W311" s="58">
        <f t="shared" si="46"/>
        <v>0.13001814637743433</v>
      </c>
      <c r="X311" s="23">
        <f t="shared" ref="X311:X319" si="52">ROUND(SUM(I311*H311,L311*K311,R311*Q311,U311*T311,)/SUM(H311,K311,Q311,T311,),2)</f>
        <v>5.46</v>
      </c>
      <c r="Y311" s="38">
        <f t="shared" si="44"/>
        <v>109.2</v>
      </c>
      <c r="Z311" s="6">
        <f t="shared" si="47"/>
        <v>5.07</v>
      </c>
      <c r="AA311" s="5">
        <f t="shared" si="48"/>
        <v>5.4824999999999999</v>
      </c>
      <c r="AB311" s="8">
        <f t="shared" si="49"/>
        <v>0.71282448751428373</v>
      </c>
      <c r="AC311" s="7">
        <f t="shared" si="50"/>
        <v>0.13001814637743433</v>
      </c>
    </row>
    <row r="312" spans="1:31" ht="111" customHeight="1" x14ac:dyDescent="0.3">
      <c r="A312" s="26">
        <v>308</v>
      </c>
      <c r="B312" s="32">
        <f>'APÊNDICE II-MEMÓRIA DE CÁLCULO'!B313</f>
        <v>16355</v>
      </c>
      <c r="C312" s="33">
        <f>'APÊNDICE II-MEMÓRIA DE CÁLCULO'!C313</f>
        <v>451192</v>
      </c>
      <c r="D312" s="34" t="str">
        <f>'APÊNDICE II-MEMÓRIA DE CÁLCULO'!D313</f>
        <v>Tubo endotraqueal - tamanho: Nº 4,5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2" s="33" t="str">
        <f>'APÊNDICE II-MEMÓRIA DE CÁLCULO'!E313</f>
        <v>UNIDADE</v>
      </c>
      <c r="F312" s="35">
        <f>'APÊNDICE II-MEMÓRIA DE CÁLCULO'!L313</f>
        <v>20</v>
      </c>
      <c r="G312" s="119" t="s">
        <v>809</v>
      </c>
      <c r="H312" s="120">
        <v>5</v>
      </c>
      <c r="I312" s="121">
        <v>7.38</v>
      </c>
      <c r="J312" s="119" t="s">
        <v>810</v>
      </c>
      <c r="K312" s="120">
        <v>18</v>
      </c>
      <c r="L312" s="121">
        <v>5.7</v>
      </c>
      <c r="M312" s="32" t="s">
        <v>31</v>
      </c>
      <c r="N312" s="32" t="s">
        <v>31</v>
      </c>
      <c r="O312" s="32" t="s">
        <v>31</v>
      </c>
      <c r="P312" s="119" t="s">
        <v>349</v>
      </c>
      <c r="Q312" s="120">
        <v>1</v>
      </c>
      <c r="R312" s="121">
        <v>5.5</v>
      </c>
      <c r="S312" s="119" t="s">
        <v>340</v>
      </c>
      <c r="T312" s="120">
        <v>1</v>
      </c>
      <c r="U312" s="121">
        <v>4.68</v>
      </c>
      <c r="V312" s="37">
        <f t="shared" si="45"/>
        <v>0.98105810225490975</v>
      </c>
      <c r="W312" s="58">
        <f t="shared" si="46"/>
        <v>0.16871162549525534</v>
      </c>
      <c r="X312" s="23">
        <f t="shared" si="52"/>
        <v>5.99</v>
      </c>
      <c r="Y312" s="38">
        <f t="shared" si="44"/>
        <v>119.80000000000001</v>
      </c>
      <c r="Z312" s="6">
        <f t="shared" si="47"/>
        <v>5.5</v>
      </c>
      <c r="AA312" s="5">
        <f t="shared" si="48"/>
        <v>5.8149999999999995</v>
      </c>
      <c r="AB312" s="8">
        <f t="shared" si="49"/>
        <v>0.98105810225490975</v>
      </c>
      <c r="AC312" s="7">
        <f t="shared" si="50"/>
        <v>0.16871162549525534</v>
      </c>
    </row>
    <row r="313" spans="1:31" ht="111" customHeight="1" x14ac:dyDescent="0.3">
      <c r="A313" s="26">
        <v>309</v>
      </c>
      <c r="B313" s="32">
        <f>'APÊNDICE II-MEMÓRIA DE CÁLCULO'!B314</f>
        <v>16356</v>
      </c>
      <c r="C313" s="33">
        <f>'APÊNDICE II-MEMÓRIA DE CÁLCULO'!C314</f>
        <v>451322</v>
      </c>
      <c r="D313" s="34" t="str">
        <f>'APÊNDICE II-MEMÓRIA DE CÁLCULO'!D314</f>
        <v>Tubo endotraqueal - tamanho: Nº 5,5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3" s="33" t="str">
        <f>'APÊNDICE II-MEMÓRIA DE CÁLCULO'!E314</f>
        <v>UNIDADE</v>
      </c>
      <c r="F313" s="35">
        <f>'APÊNDICE II-MEMÓRIA DE CÁLCULO'!L314</f>
        <v>20</v>
      </c>
      <c r="G313" s="119" t="s">
        <v>809</v>
      </c>
      <c r="H313" s="120">
        <v>5</v>
      </c>
      <c r="I313" s="121">
        <v>6.43</v>
      </c>
      <c r="J313" s="119" t="s">
        <v>810</v>
      </c>
      <c r="K313" s="120">
        <v>6</v>
      </c>
      <c r="L313" s="121">
        <v>5.75</v>
      </c>
      <c r="M313" s="32" t="s">
        <v>31</v>
      </c>
      <c r="N313" s="32" t="s">
        <v>31</v>
      </c>
      <c r="O313" s="32" t="s">
        <v>31</v>
      </c>
      <c r="P313" s="119" t="s">
        <v>349</v>
      </c>
      <c r="Q313" s="120">
        <v>1</v>
      </c>
      <c r="R313" s="121">
        <v>4.5</v>
      </c>
      <c r="S313" s="119" t="s">
        <v>771</v>
      </c>
      <c r="T313" s="120">
        <v>1</v>
      </c>
      <c r="U313" s="121">
        <v>4.99</v>
      </c>
      <c r="V313" s="37">
        <f t="shared" si="45"/>
        <v>0.73489369979609709</v>
      </c>
      <c r="W313" s="58">
        <f t="shared" si="46"/>
        <v>0.13565181352950567</v>
      </c>
      <c r="X313" s="23">
        <f t="shared" si="52"/>
        <v>5.86</v>
      </c>
      <c r="Y313" s="38">
        <f t="shared" si="44"/>
        <v>117.2</v>
      </c>
      <c r="Z313" s="6">
        <f t="shared" si="47"/>
        <v>4.99</v>
      </c>
      <c r="AA313" s="5">
        <f t="shared" si="48"/>
        <v>5.4175000000000004</v>
      </c>
      <c r="AB313" s="8">
        <f t="shared" si="49"/>
        <v>0.73489369979609709</v>
      </c>
      <c r="AC313" s="7">
        <f t="shared" si="50"/>
        <v>0.13565181352950567</v>
      </c>
    </row>
    <row r="314" spans="1:31" ht="111" customHeight="1" x14ac:dyDescent="0.3">
      <c r="A314" s="26">
        <v>310</v>
      </c>
      <c r="B314" s="32">
        <f>'APÊNDICE II-MEMÓRIA DE CÁLCULO'!B315</f>
        <v>16357</v>
      </c>
      <c r="C314" s="33">
        <f>'APÊNDICE II-MEMÓRIA DE CÁLCULO'!C315</f>
        <v>467659</v>
      </c>
      <c r="D314" s="34" t="str">
        <f>'APÊNDICE II-MEMÓRIA DE CÁLCULO'!D315</f>
        <v>Tubo endotraqueal - tamanho: Nº 6,5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data, tio de esterilização e tempo de validade.</v>
      </c>
      <c r="E314" s="33" t="str">
        <f>'APÊNDICE II-MEMÓRIA DE CÁLCULO'!E315</f>
        <v>UNIDADE</v>
      </c>
      <c r="F314" s="35">
        <f>'APÊNDICE II-MEMÓRIA DE CÁLCULO'!L315</f>
        <v>20</v>
      </c>
      <c r="G314" s="119" t="s">
        <v>809</v>
      </c>
      <c r="H314" s="120">
        <v>5</v>
      </c>
      <c r="I314" s="121">
        <v>5.08</v>
      </c>
      <c r="J314" s="119" t="s">
        <v>810</v>
      </c>
      <c r="K314" s="120">
        <v>1</v>
      </c>
      <c r="L314" s="121">
        <v>6.6</v>
      </c>
      <c r="M314" s="32" t="s">
        <v>31</v>
      </c>
      <c r="N314" s="32" t="s">
        <v>31</v>
      </c>
      <c r="O314" s="32" t="s">
        <v>31</v>
      </c>
      <c r="P314" s="119" t="s">
        <v>349</v>
      </c>
      <c r="Q314" s="120">
        <v>1</v>
      </c>
      <c r="R314" s="121">
        <v>4.5</v>
      </c>
      <c r="S314" s="119" t="s">
        <v>771</v>
      </c>
      <c r="T314" s="120">
        <v>1</v>
      </c>
      <c r="U314" s="121">
        <v>4.99</v>
      </c>
      <c r="V314" s="37">
        <f t="shared" si="45"/>
        <v>0.78649141762640862</v>
      </c>
      <c r="W314" s="58">
        <f t="shared" si="46"/>
        <v>0.14860489704797517</v>
      </c>
      <c r="X314" s="23">
        <f t="shared" si="52"/>
        <v>5.19</v>
      </c>
      <c r="Y314" s="38">
        <f t="shared" si="44"/>
        <v>103.80000000000001</v>
      </c>
      <c r="Z314" s="6">
        <f t="shared" si="47"/>
        <v>4.99</v>
      </c>
      <c r="AA314" s="5">
        <f t="shared" si="48"/>
        <v>5.2925000000000004</v>
      </c>
      <c r="AB314" s="8">
        <f t="shared" si="49"/>
        <v>0.78649141762640862</v>
      </c>
      <c r="AC314" s="7">
        <f t="shared" si="50"/>
        <v>0.14860489704797517</v>
      </c>
    </row>
    <row r="315" spans="1:31" ht="111" customHeight="1" x14ac:dyDescent="0.3">
      <c r="A315" s="26">
        <v>311</v>
      </c>
      <c r="B315" s="32">
        <f>'APÊNDICE II-MEMÓRIA DE CÁLCULO'!B316</f>
        <v>16358</v>
      </c>
      <c r="C315" s="33">
        <f>'APÊNDICE II-MEMÓRIA DE CÁLCULO'!C316</f>
        <v>451380</v>
      </c>
      <c r="D315" s="34" t="str">
        <f>'APÊNDICE II-MEMÓRIA DE CÁLCULO'!D316</f>
        <v>Tubo endotraqueal - tamanho: Nº 7,0 características adicionais: com cuff, estéril, siliconada, com extremo distal com ponta biselada e balão insuflável de baixa pressão, conectada a balão piloto exterior com orifício lateral para fechamento e extremo proximal com adaptador universal. Embalagem individual em papel grau cirúrgico com filme termoplástico,  com dados de identificação e procedência  , data, tio de esterilização e tempo de validade.</v>
      </c>
      <c r="E315" s="33" t="str">
        <f>'APÊNDICE II-MEMÓRIA DE CÁLCULO'!E316</f>
        <v>UNIDADE</v>
      </c>
      <c r="F315" s="35">
        <f>'APÊNDICE II-MEMÓRIA DE CÁLCULO'!L316</f>
        <v>50</v>
      </c>
      <c r="G315" s="119" t="s">
        <v>809</v>
      </c>
      <c r="H315" s="120">
        <v>2</v>
      </c>
      <c r="I315" s="121">
        <v>4.4800000000000004</v>
      </c>
      <c r="J315" s="119" t="s">
        <v>810</v>
      </c>
      <c r="K315" s="120">
        <v>1</v>
      </c>
      <c r="L315" s="121">
        <v>5.15</v>
      </c>
      <c r="M315" s="32" t="s">
        <v>31</v>
      </c>
      <c r="N315" s="32" t="s">
        <v>31</v>
      </c>
      <c r="O315" s="32" t="s">
        <v>31</v>
      </c>
      <c r="P315" s="119" t="s">
        <v>700</v>
      </c>
      <c r="Q315" s="120">
        <v>1</v>
      </c>
      <c r="R315" s="121">
        <v>6.24</v>
      </c>
      <c r="S315" s="119" t="s">
        <v>771</v>
      </c>
      <c r="T315" s="120">
        <v>1</v>
      </c>
      <c r="U315" s="121">
        <v>4.9000000000000004</v>
      </c>
      <c r="V315" s="37">
        <f t="shared" si="45"/>
        <v>0.65043735286343973</v>
      </c>
      <c r="W315" s="58">
        <f t="shared" si="46"/>
        <v>0.12526477667085983</v>
      </c>
      <c r="X315" s="23">
        <f t="shared" si="52"/>
        <v>5.05</v>
      </c>
      <c r="Y315" s="38">
        <f t="shared" si="44"/>
        <v>252.5</v>
      </c>
      <c r="Z315" s="6">
        <f t="shared" si="47"/>
        <v>4.9000000000000004</v>
      </c>
      <c r="AA315" s="5">
        <f t="shared" si="48"/>
        <v>5.1925000000000008</v>
      </c>
      <c r="AB315" s="8">
        <f t="shared" si="49"/>
        <v>0.65043735286343973</v>
      </c>
      <c r="AC315" s="7">
        <f t="shared" si="50"/>
        <v>0.12526477667085983</v>
      </c>
    </row>
    <row r="316" spans="1:31" ht="111" customHeight="1" x14ac:dyDescent="0.3">
      <c r="A316" s="26">
        <v>312</v>
      </c>
      <c r="B316" s="32">
        <f>'APÊNDICE II-MEMÓRIA DE CÁLCULO'!B317</f>
        <v>16367</v>
      </c>
      <c r="C316" s="33">
        <f>'APÊNDICE II-MEMÓRIA DE CÁLCULO'!C317</f>
        <v>438397</v>
      </c>
      <c r="D316" s="34" t="str">
        <f>'APÊNDICE II-MEMÓRIA DE CÁLCULO'!D317</f>
        <v>Sonda nasogástrica curta - tamanho: Nº 12,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6" s="33" t="str">
        <f>'APÊNDICE II-MEMÓRIA DE CÁLCULO'!E317</f>
        <v>UNIDADE</v>
      </c>
      <c r="F316" s="35">
        <f>'APÊNDICE II-MEMÓRIA DE CÁLCULO'!L317</f>
        <v>100</v>
      </c>
      <c r="G316" s="119" t="s">
        <v>809</v>
      </c>
      <c r="H316" s="120">
        <v>7</v>
      </c>
      <c r="I316" s="121">
        <v>0.83</v>
      </c>
      <c r="J316" s="119" t="s">
        <v>810</v>
      </c>
      <c r="K316" s="120">
        <v>6</v>
      </c>
      <c r="L316" s="121">
        <v>0.85</v>
      </c>
      <c r="M316" s="32" t="s">
        <v>31</v>
      </c>
      <c r="N316" s="32" t="s">
        <v>31</v>
      </c>
      <c r="O316" s="32" t="s">
        <v>31</v>
      </c>
      <c r="P316" s="119" t="s">
        <v>354</v>
      </c>
      <c r="Q316" s="120">
        <v>1</v>
      </c>
      <c r="R316" s="121">
        <v>1</v>
      </c>
      <c r="S316" s="119" t="s">
        <v>771</v>
      </c>
      <c r="T316" s="120">
        <v>1</v>
      </c>
      <c r="U316" s="121">
        <v>0.95</v>
      </c>
      <c r="V316" s="37">
        <f t="shared" ref="V316:W350" si="53">AB316</f>
        <v>7.0133800695527701E-2</v>
      </c>
      <c r="W316" s="58">
        <f t="shared" si="53"/>
        <v>7.728242500884594E-2</v>
      </c>
      <c r="X316" s="23">
        <f t="shared" si="52"/>
        <v>0.86</v>
      </c>
      <c r="Y316" s="38">
        <f t="shared" ref="Y316:Y350" si="54">X316*F316</f>
        <v>86</v>
      </c>
      <c r="Z316" s="6">
        <f t="shared" ref="Z316:Z350" si="55">MEDIAN(L316,I316,O316,R316,U316,)</f>
        <v>0.85</v>
      </c>
      <c r="AA316" s="5">
        <f t="shared" ref="AA316:AA350" si="56">AVERAGE(I316,O316,R316,U316,L316)</f>
        <v>0.90750000000000008</v>
      </c>
      <c r="AB316" s="8">
        <f t="shared" ref="AB316:AB350" si="57">_xlfn.STDEV.P(I316,O316,R316,U316,L316)</f>
        <v>7.0133800695527701E-2</v>
      </c>
      <c r="AC316" s="7">
        <f t="shared" ref="AC316:AC350" si="58">AB316/AA316</f>
        <v>7.728242500884594E-2</v>
      </c>
    </row>
    <row r="317" spans="1:31" ht="111" customHeight="1" x14ac:dyDescent="0.3">
      <c r="A317" s="26">
        <v>313</v>
      </c>
      <c r="B317" s="32">
        <f>'APÊNDICE II-MEMÓRIA DE CÁLCULO'!B318</f>
        <v>16368</v>
      </c>
      <c r="C317" s="33">
        <f>'APÊNDICE II-MEMÓRIA DE CÁLCULO'!C318</f>
        <v>438398</v>
      </c>
      <c r="D317" s="34" t="str">
        <f>'APÊNDICE II-MEMÓRIA DE CÁLCULO'!D318</f>
        <v>Sonda nasogástrica curta - tamanho: Nº 14,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7" s="33" t="str">
        <f>'APÊNDICE II-MEMÓRIA DE CÁLCULO'!E318</f>
        <v>UNIDADE</v>
      </c>
      <c r="F317" s="35">
        <f>'APÊNDICE II-MEMÓRIA DE CÁLCULO'!L318</f>
        <v>100</v>
      </c>
      <c r="G317" s="119" t="s">
        <v>809</v>
      </c>
      <c r="H317" s="120">
        <v>12</v>
      </c>
      <c r="I317" s="121">
        <v>0.92</v>
      </c>
      <c r="J317" s="119" t="s">
        <v>810</v>
      </c>
      <c r="K317" s="120">
        <v>5</v>
      </c>
      <c r="L317" s="121">
        <v>0.8</v>
      </c>
      <c r="M317" s="32" t="s">
        <v>31</v>
      </c>
      <c r="N317" s="32" t="s">
        <v>31</v>
      </c>
      <c r="O317" s="32" t="s">
        <v>31</v>
      </c>
      <c r="P317" s="119" t="s">
        <v>406</v>
      </c>
      <c r="Q317" s="120">
        <v>1</v>
      </c>
      <c r="R317" s="121">
        <v>1.3</v>
      </c>
      <c r="S317" s="119" t="s">
        <v>685</v>
      </c>
      <c r="T317" s="120">
        <v>1</v>
      </c>
      <c r="U317" s="121">
        <v>1.22</v>
      </c>
      <c r="V317" s="37">
        <f t="shared" si="53"/>
        <v>0.20639767440550341</v>
      </c>
      <c r="W317" s="58">
        <f t="shared" si="53"/>
        <v>0.19471478717500321</v>
      </c>
      <c r="X317" s="23">
        <f t="shared" si="52"/>
        <v>0.92</v>
      </c>
      <c r="Y317" s="38">
        <f t="shared" si="54"/>
        <v>92</v>
      </c>
      <c r="Z317" s="6">
        <f t="shared" si="55"/>
        <v>0.92</v>
      </c>
      <c r="AA317" s="5">
        <f t="shared" si="56"/>
        <v>1.06</v>
      </c>
      <c r="AB317" s="8">
        <f t="shared" si="57"/>
        <v>0.20639767440550341</v>
      </c>
      <c r="AC317" s="7">
        <f t="shared" si="58"/>
        <v>0.19471478717500321</v>
      </c>
    </row>
    <row r="318" spans="1:31" ht="111" customHeight="1" x14ac:dyDescent="0.3">
      <c r="A318" s="26">
        <v>314</v>
      </c>
      <c r="B318" s="32">
        <f>'APÊNDICE II-MEMÓRIA DE CÁLCULO'!B319</f>
        <v>16369</v>
      </c>
      <c r="C318" s="33">
        <f>'APÊNDICE II-MEMÓRIA DE CÁLCULO'!C319</f>
        <v>438399</v>
      </c>
      <c r="D318" s="34" t="str">
        <f>'APÊNDICE II-MEMÓRIA DE CÁLCULO'!D319</f>
        <v xml:space="preserve">Sonda nasogástrica curta - tamanho: Nº 16,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 </v>
      </c>
      <c r="E318" s="33" t="str">
        <f>'APÊNDICE II-MEMÓRIA DE CÁLCULO'!E319</f>
        <v>UNIDADE</v>
      </c>
      <c r="F318" s="35">
        <f>'APÊNDICE II-MEMÓRIA DE CÁLCULO'!L319</f>
        <v>100</v>
      </c>
      <c r="G318" s="119" t="s">
        <v>809</v>
      </c>
      <c r="H318" s="120">
        <v>6</v>
      </c>
      <c r="I318" s="121">
        <v>1.26</v>
      </c>
      <c r="J318" s="119" t="s">
        <v>810</v>
      </c>
      <c r="K318" s="120">
        <v>5</v>
      </c>
      <c r="L318" s="121">
        <v>1.03</v>
      </c>
      <c r="M318" s="32" t="s">
        <v>31</v>
      </c>
      <c r="N318" s="32" t="s">
        <v>31</v>
      </c>
      <c r="O318" s="32" t="s">
        <v>31</v>
      </c>
      <c r="P318" s="119" t="s">
        <v>685</v>
      </c>
      <c r="Q318" s="120">
        <v>1</v>
      </c>
      <c r="R318" s="121">
        <v>1.25</v>
      </c>
      <c r="S318" s="119" t="s">
        <v>729</v>
      </c>
      <c r="T318" s="120">
        <v>1</v>
      </c>
      <c r="U318" s="121">
        <v>1</v>
      </c>
      <c r="V318" s="37">
        <f t="shared" si="53"/>
        <v>0.12051970793194</v>
      </c>
      <c r="W318" s="58">
        <f t="shared" si="53"/>
        <v>0.10618476469774449</v>
      </c>
      <c r="X318" s="23">
        <f t="shared" si="52"/>
        <v>1.1499999999999999</v>
      </c>
      <c r="Y318" s="38">
        <f t="shared" si="54"/>
        <v>114.99999999999999</v>
      </c>
      <c r="Z318" s="6">
        <f t="shared" si="55"/>
        <v>1.03</v>
      </c>
      <c r="AA318" s="5">
        <f t="shared" si="56"/>
        <v>1.135</v>
      </c>
      <c r="AB318" s="8">
        <f t="shared" si="57"/>
        <v>0.12051970793194</v>
      </c>
      <c r="AC318" s="7">
        <f t="shared" si="58"/>
        <v>0.10618476469774449</v>
      </c>
    </row>
    <row r="319" spans="1:31" ht="111" customHeight="1" x14ac:dyDescent="0.3">
      <c r="A319" s="26">
        <v>315</v>
      </c>
      <c r="B319" s="32">
        <f>'APÊNDICE II-MEMÓRIA DE CÁLCULO'!B320</f>
        <v>16370</v>
      </c>
      <c r="C319" s="33">
        <f>'APÊNDICE II-MEMÓRIA DE CÁLCULO'!C320</f>
        <v>438400</v>
      </c>
      <c r="D319" s="34" t="str">
        <f>'APÊNDICE II-MEMÓRIA DE CÁLCULO'!D320</f>
        <v>Sonda nasogástrica curta - tamanho: Nº 18,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19" s="33" t="str">
        <f>'APÊNDICE II-MEMÓRIA DE CÁLCULO'!E320</f>
        <v>UNIDADE</v>
      </c>
      <c r="F319" s="35">
        <f>'APÊNDICE II-MEMÓRIA DE CÁLCULO'!L320</f>
        <v>100</v>
      </c>
      <c r="G319" s="119" t="s">
        <v>809</v>
      </c>
      <c r="H319" s="120">
        <v>9</v>
      </c>
      <c r="I319" s="121">
        <v>1</v>
      </c>
      <c r="J319" s="119" t="s">
        <v>810</v>
      </c>
      <c r="K319" s="120">
        <v>5</v>
      </c>
      <c r="L319" s="121">
        <v>1.02</v>
      </c>
      <c r="M319" s="32" t="s">
        <v>31</v>
      </c>
      <c r="N319" s="32" t="s">
        <v>31</v>
      </c>
      <c r="O319" s="32" t="s">
        <v>31</v>
      </c>
      <c r="P319" s="119" t="s">
        <v>685</v>
      </c>
      <c r="Q319" s="120">
        <v>1</v>
      </c>
      <c r="R319" s="121">
        <v>1.44</v>
      </c>
      <c r="S319" s="119" t="s">
        <v>354</v>
      </c>
      <c r="T319" s="120">
        <v>1</v>
      </c>
      <c r="U319" s="121">
        <v>1.31</v>
      </c>
      <c r="V319" s="37">
        <f t="shared" si="53"/>
        <v>0.18833148966649246</v>
      </c>
      <c r="W319" s="58">
        <f t="shared" si="53"/>
        <v>0.1579299703702243</v>
      </c>
      <c r="X319" s="23">
        <f t="shared" si="52"/>
        <v>1.05</v>
      </c>
      <c r="Y319" s="38">
        <f t="shared" si="54"/>
        <v>105</v>
      </c>
      <c r="Z319" s="6">
        <f t="shared" si="55"/>
        <v>1.02</v>
      </c>
      <c r="AA319" s="5">
        <f t="shared" si="56"/>
        <v>1.1924999999999999</v>
      </c>
      <c r="AB319" s="8">
        <f t="shared" si="57"/>
        <v>0.18833148966649246</v>
      </c>
      <c r="AC319" s="7">
        <f t="shared" si="58"/>
        <v>0.1579299703702243</v>
      </c>
    </row>
    <row r="320" spans="1:31" ht="111" customHeight="1" x14ac:dyDescent="0.3">
      <c r="A320" s="26">
        <v>316</v>
      </c>
      <c r="B320" s="32">
        <f>'APÊNDICE II-MEMÓRIA DE CÁLCULO'!B321</f>
        <v>16371</v>
      </c>
      <c r="C320" s="33">
        <f>'APÊNDICE II-MEMÓRIA DE CÁLCULO'!C321</f>
        <v>438951</v>
      </c>
      <c r="D320" s="34" t="str">
        <f>'APÊNDICE II-MEMÓRIA DE CÁLCULO'!D321</f>
        <v>Sonda nasogástrica curta - tamanho: Nº 20,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v>
      </c>
      <c r="E320" s="33" t="str">
        <f>'APÊNDICE II-MEMÓRIA DE CÁLCULO'!E321</f>
        <v>UNIDADE</v>
      </c>
      <c r="F320" s="35">
        <f>'APÊNDICE II-MEMÓRIA DE CÁLCULO'!L321</f>
        <v>100</v>
      </c>
      <c r="G320" s="119" t="s">
        <v>809</v>
      </c>
      <c r="H320" s="120">
        <v>9</v>
      </c>
      <c r="I320" s="121">
        <v>1</v>
      </c>
      <c r="J320" s="119" t="s">
        <v>810</v>
      </c>
      <c r="K320" s="120">
        <v>6</v>
      </c>
      <c r="L320" s="121">
        <v>1.56</v>
      </c>
      <c r="M320" s="32" t="s">
        <v>31</v>
      </c>
      <c r="N320" s="32" t="s">
        <v>31</v>
      </c>
      <c r="O320" s="32" t="s">
        <v>31</v>
      </c>
      <c r="P320" s="119" t="s">
        <v>406</v>
      </c>
      <c r="Q320" s="120">
        <v>1</v>
      </c>
      <c r="R320" s="121">
        <v>1.3</v>
      </c>
      <c r="S320" s="26" t="s">
        <v>31</v>
      </c>
      <c r="T320" s="32" t="s">
        <v>31</v>
      </c>
      <c r="U320" s="116" t="s">
        <v>31</v>
      </c>
      <c r="V320" s="37">
        <f t="shared" si="53"/>
        <v>0.22881336402307428</v>
      </c>
      <c r="W320" s="58">
        <f t="shared" si="53"/>
        <v>0.17783422074332197</v>
      </c>
      <c r="X320" s="23">
        <f>ROUND(SUM(I320*H320,L320*K320,R320*Q320,)/SUM(H320,K320,Q320,),2)</f>
        <v>1.23</v>
      </c>
      <c r="Y320" s="38">
        <f t="shared" si="54"/>
        <v>123</v>
      </c>
      <c r="Z320" s="6">
        <f t="shared" si="55"/>
        <v>1.1499999999999999</v>
      </c>
      <c r="AA320" s="5">
        <f t="shared" si="56"/>
        <v>1.2866666666666666</v>
      </c>
      <c r="AB320" s="8">
        <f t="shared" si="57"/>
        <v>0.22881336402307428</v>
      </c>
      <c r="AC320" s="7">
        <f t="shared" si="58"/>
        <v>0.17783422074332197</v>
      </c>
    </row>
    <row r="321" spans="1:29" ht="111" customHeight="1" x14ac:dyDescent="0.3">
      <c r="A321" s="26">
        <v>317</v>
      </c>
      <c r="B321" s="32">
        <f>'APÊNDICE II-MEMÓRIA DE CÁLCULO'!B322</f>
        <v>16372</v>
      </c>
      <c r="C321" s="33">
        <f>'APÊNDICE II-MEMÓRIA DE CÁLCULO'!C322</f>
        <v>449606</v>
      </c>
      <c r="D321" s="34" t="str">
        <f>'APÊNDICE II-MEMÓRIA DE CÁLCULO'!D322</f>
        <v>Sonda nasogástrica curta - tamanho: Nº 22, esterilidade: estéril, descartável, material: pvc atóxico, características adicionais: flexível, transparente, com batoque atraumático, siliconada, com orifícios laterais, conector universal. Estéril em embalagem adequada, que permita abertura asséptica, constando dados de identificação e procedência, data e tipo de esterilização e tempo de validade.</v>
      </c>
      <c r="E321" s="33" t="str">
        <f>'APÊNDICE II-MEMÓRIA DE CÁLCULO'!E322</f>
        <v>UNIDADE</v>
      </c>
      <c r="F321" s="35">
        <f>'APÊNDICE II-MEMÓRIA DE CÁLCULO'!L322</f>
        <v>50</v>
      </c>
      <c r="G321" s="119" t="s">
        <v>809</v>
      </c>
      <c r="H321" s="120">
        <v>8</v>
      </c>
      <c r="I321" s="121">
        <v>1.47</v>
      </c>
      <c r="J321" s="119" t="s">
        <v>810</v>
      </c>
      <c r="K321" s="120">
        <v>4</v>
      </c>
      <c r="L321" s="121">
        <v>1.23</v>
      </c>
      <c r="M321" s="32" t="s">
        <v>31</v>
      </c>
      <c r="N321" s="32" t="s">
        <v>31</v>
      </c>
      <c r="O321" s="32" t="s">
        <v>31</v>
      </c>
      <c r="P321" s="119" t="s">
        <v>685</v>
      </c>
      <c r="Q321" s="120">
        <v>1</v>
      </c>
      <c r="R321" s="121">
        <v>1.63</v>
      </c>
      <c r="S321" s="119" t="s">
        <v>771</v>
      </c>
      <c r="T321" s="120">
        <v>1</v>
      </c>
      <c r="U321" s="121">
        <v>1.75</v>
      </c>
      <c r="V321" s="37">
        <f t="shared" si="53"/>
        <v>0.19467922333931797</v>
      </c>
      <c r="W321" s="58">
        <f t="shared" si="53"/>
        <v>0.12807843640744604</v>
      </c>
      <c r="X321" s="23">
        <f t="shared" ref="X321:X326" si="59">ROUND(SUM(I321*H321,L321*K321,R321*Q321,U321*T321,)/SUM(H321,K321,Q321,T321,),2)</f>
        <v>1.43</v>
      </c>
      <c r="Y321" s="38">
        <f t="shared" si="54"/>
        <v>71.5</v>
      </c>
      <c r="Z321" s="6">
        <f t="shared" si="55"/>
        <v>1.47</v>
      </c>
      <c r="AA321" s="5">
        <f t="shared" si="56"/>
        <v>1.52</v>
      </c>
      <c r="AB321" s="8">
        <f t="shared" si="57"/>
        <v>0.19467922333931797</v>
      </c>
      <c r="AC321" s="7">
        <f t="shared" si="58"/>
        <v>0.12807843640744604</v>
      </c>
    </row>
    <row r="322" spans="1:29" ht="111" customHeight="1" x14ac:dyDescent="0.3">
      <c r="A322" s="26">
        <v>318</v>
      </c>
      <c r="B322" s="32">
        <f>'APÊNDICE II-MEMÓRIA DE CÁLCULO'!B323</f>
        <v>16373</v>
      </c>
      <c r="C322" s="33">
        <f>'APÊNDICE II-MEMÓRIA DE CÁLCULO'!C323</f>
        <v>438401</v>
      </c>
      <c r="D322" s="34" t="str">
        <f>'APÊNDICE II-MEMÓRIA DE CÁLCULO'!D323</f>
        <v>Sonda nasogástrica longa - tamanho: Nº 04, esterilidade: estéril, descartável, material: pvc atóxico, características adicionais: flexível, transparente, com batoque atraumático, siliconada, com orifícios laterais, conector universal. Estéril em embalagem adequada, que permita abertura asséptica,constando dados de identificação e procedência, data e tipo de esterilização e tempo de validade.</v>
      </c>
      <c r="E322" s="33" t="str">
        <f>'APÊNDICE II-MEMÓRIA DE CÁLCULO'!E323</f>
        <v>UNIDADE</v>
      </c>
      <c r="F322" s="35">
        <f>'APÊNDICE II-MEMÓRIA DE CÁLCULO'!L323</f>
        <v>50</v>
      </c>
      <c r="G322" s="119" t="s">
        <v>809</v>
      </c>
      <c r="H322" s="120">
        <v>7</v>
      </c>
      <c r="I322" s="121">
        <v>1.22</v>
      </c>
      <c r="J322" s="119" t="s">
        <v>810</v>
      </c>
      <c r="K322" s="120">
        <v>9</v>
      </c>
      <c r="L322" s="121">
        <v>1.01</v>
      </c>
      <c r="M322" s="32" t="s">
        <v>31</v>
      </c>
      <c r="N322" s="32" t="s">
        <v>31</v>
      </c>
      <c r="O322" s="32" t="s">
        <v>31</v>
      </c>
      <c r="P322" s="119" t="s">
        <v>685</v>
      </c>
      <c r="Q322" s="120">
        <v>1</v>
      </c>
      <c r="R322" s="121">
        <v>1.23</v>
      </c>
      <c r="S322" s="119" t="s">
        <v>776</v>
      </c>
      <c r="T322" s="120">
        <v>1</v>
      </c>
      <c r="U322" s="121">
        <v>1.3</v>
      </c>
      <c r="V322" s="37">
        <f t="shared" si="53"/>
        <v>0.108397416943394</v>
      </c>
      <c r="W322" s="58">
        <f t="shared" si="53"/>
        <v>9.1090266338986564E-2</v>
      </c>
      <c r="X322" s="23">
        <f t="shared" si="59"/>
        <v>1.1200000000000001</v>
      </c>
      <c r="Y322" s="38">
        <f t="shared" si="54"/>
        <v>56.000000000000007</v>
      </c>
      <c r="Z322" s="6">
        <f t="shared" si="55"/>
        <v>1.22</v>
      </c>
      <c r="AA322" s="5">
        <f t="shared" si="56"/>
        <v>1.19</v>
      </c>
      <c r="AB322" s="8">
        <f t="shared" si="57"/>
        <v>0.108397416943394</v>
      </c>
      <c r="AC322" s="7">
        <f t="shared" si="58"/>
        <v>9.1090266338986564E-2</v>
      </c>
    </row>
    <row r="323" spans="1:29" ht="111" customHeight="1" x14ac:dyDescent="0.3">
      <c r="A323" s="26">
        <v>319</v>
      </c>
      <c r="B323" s="32">
        <f>'APÊNDICE II-MEMÓRIA DE CÁLCULO'!B324</f>
        <v>16374</v>
      </c>
      <c r="C323" s="33">
        <f>'APÊNDICE II-MEMÓRIA DE CÁLCULO'!C324</f>
        <v>600992</v>
      </c>
      <c r="D323" s="34" t="str">
        <f>'APÊNDICE II-MEMÓRIA DE CÁLCULO'!D324</f>
        <v>Pinça Professor Medina para biópsia uterina, medidas: 24cm, material: aço inoxidável, esterilidade: esterilizável.   Diâmetro da boca: 3mm. Especificação: Pinça Professor Medina para biópsia uterina, medidas: 24cm, material: aço inoxidável, esterilidade. Referência: Rhosse ou similar</v>
      </c>
      <c r="E323" s="33" t="str">
        <f>'APÊNDICE II-MEMÓRIA DE CÁLCULO'!E324</f>
        <v>UNIDADE</v>
      </c>
      <c r="F323" s="35">
        <f>'APÊNDICE II-MEMÓRIA DE CÁLCULO'!L324</f>
        <v>10</v>
      </c>
      <c r="G323" s="119" t="s">
        <v>809</v>
      </c>
      <c r="H323" s="120">
        <v>12</v>
      </c>
      <c r="I323" s="121">
        <v>136.13</v>
      </c>
      <c r="J323" s="119" t="s">
        <v>810</v>
      </c>
      <c r="K323" s="120">
        <v>4</v>
      </c>
      <c r="L323" s="121">
        <v>213.18</v>
      </c>
      <c r="M323" s="32" t="s">
        <v>31</v>
      </c>
      <c r="N323" s="32" t="s">
        <v>31</v>
      </c>
      <c r="O323" s="32" t="s">
        <v>31</v>
      </c>
      <c r="P323" s="119" t="s">
        <v>765</v>
      </c>
      <c r="Q323" s="120">
        <v>1</v>
      </c>
      <c r="R323" s="121">
        <v>227.8</v>
      </c>
      <c r="S323" s="119" t="s">
        <v>890</v>
      </c>
      <c r="T323" s="120">
        <v>1</v>
      </c>
      <c r="U323" s="121">
        <v>221.9</v>
      </c>
      <c r="V323" s="37">
        <f t="shared" si="53"/>
        <v>37.098835140068829</v>
      </c>
      <c r="W323" s="58">
        <f t="shared" si="53"/>
        <v>0.18572400916168172</v>
      </c>
      <c r="X323" s="23">
        <f t="shared" si="59"/>
        <v>163.11000000000001</v>
      </c>
      <c r="Y323" s="38">
        <f t="shared" si="54"/>
        <v>1631.1000000000001</v>
      </c>
      <c r="Z323" s="6">
        <f t="shared" si="55"/>
        <v>213.18</v>
      </c>
      <c r="AA323" s="5">
        <f t="shared" si="56"/>
        <v>199.7525</v>
      </c>
      <c r="AB323" s="8">
        <f t="shared" si="57"/>
        <v>37.098835140068829</v>
      </c>
      <c r="AC323" s="7">
        <f t="shared" si="58"/>
        <v>0.18572400916168172</v>
      </c>
    </row>
    <row r="324" spans="1:29" ht="111" customHeight="1" x14ac:dyDescent="0.3">
      <c r="A324" s="26">
        <v>320</v>
      </c>
      <c r="B324" s="32">
        <f>'APÊNDICE II-MEMÓRIA DE CÁLCULO'!B325</f>
        <v>16375</v>
      </c>
      <c r="C324" s="33">
        <f>'APÊNDICE II-MEMÓRIA DE CÁLCULO'!C325</f>
        <v>600993</v>
      </c>
      <c r="D324" s="34" t="str">
        <f>'APÊNDICE II-MEMÓRIA DE CÁLCULO'!D325</f>
        <v>Pinça Professor Medina para biópsia uterina, medidas: 24cm, material: aço inoxidável, esterilidade: esterilizável. Diâmetro da boca: 4mm. Especificação: Professor Medina para biópsia uterina, medidas: 24cm, material: aço inoxidável,, esterilidade: esterilizável. Referência: Rhosse ou similar.</v>
      </c>
      <c r="E324" s="33" t="str">
        <f>'APÊNDICE II-MEMÓRIA DE CÁLCULO'!E325</f>
        <v>UNIDADE</v>
      </c>
      <c r="F324" s="35">
        <f>'APÊNDICE II-MEMÓRIA DE CÁLCULO'!L325</f>
        <v>10</v>
      </c>
      <c r="G324" s="119" t="s">
        <v>809</v>
      </c>
      <c r="H324" s="120">
        <v>1</v>
      </c>
      <c r="I324" s="121">
        <v>156</v>
      </c>
      <c r="J324" s="119" t="s">
        <v>810</v>
      </c>
      <c r="K324" s="120">
        <v>1</v>
      </c>
      <c r="L324" s="121">
        <v>199.39</v>
      </c>
      <c r="M324" s="32" t="s">
        <v>31</v>
      </c>
      <c r="N324" s="32" t="s">
        <v>31</v>
      </c>
      <c r="O324" s="32" t="s">
        <v>31</v>
      </c>
      <c r="P324" s="119" t="s">
        <v>891</v>
      </c>
      <c r="Q324" s="120">
        <v>1</v>
      </c>
      <c r="R324" s="121">
        <v>229.9</v>
      </c>
      <c r="S324" s="119" t="s">
        <v>765</v>
      </c>
      <c r="T324" s="120">
        <v>1</v>
      </c>
      <c r="U324" s="121">
        <v>227.8</v>
      </c>
      <c r="V324" s="37">
        <f t="shared" si="53"/>
        <v>29.834481204639701</v>
      </c>
      <c r="W324" s="58">
        <f t="shared" si="53"/>
        <v>0.14677086770044989</v>
      </c>
      <c r="X324" s="23">
        <f t="shared" si="59"/>
        <v>203.27</v>
      </c>
      <c r="Y324" s="38">
        <f t="shared" si="54"/>
        <v>2032.7</v>
      </c>
      <c r="Z324" s="6">
        <f t="shared" si="55"/>
        <v>199.39</v>
      </c>
      <c r="AA324" s="5">
        <f t="shared" si="56"/>
        <v>203.27250000000001</v>
      </c>
      <c r="AB324" s="8">
        <f t="shared" si="57"/>
        <v>29.834481204639701</v>
      </c>
      <c r="AC324" s="7">
        <f t="shared" si="58"/>
        <v>0.14677086770044989</v>
      </c>
    </row>
    <row r="325" spans="1:29" ht="111" customHeight="1" x14ac:dyDescent="0.3">
      <c r="A325" s="26">
        <v>321</v>
      </c>
      <c r="B325" s="32">
        <f>'APÊNDICE II-MEMÓRIA DE CÁLCULO'!B326</f>
        <v>16376</v>
      </c>
      <c r="C325" s="33">
        <f>'APÊNDICE II-MEMÓRIA DE CÁLCULO'!C326</f>
        <v>601266</v>
      </c>
      <c r="D325" s="34" t="str">
        <f>'APÊNDICE II-MEMÓRIA DE CÁLCULO'!D326</f>
        <v>Pinça Hartmann Jacaré  para corpo estranho, Retirada de Diu e Passar Fio, medidas: 20cm, material: aço inoxidável, esterilidade: esterilizável. Especificação: Pinça Hartmann Jacaré  para corpo estranho, Retirada de Diu e Passar Fio, medidas: 20cm, material: aço inoxidável, esterilidade: esterilizável. Referência: Rhosse ou similar.</v>
      </c>
      <c r="E325" s="33" t="str">
        <f>'APÊNDICE II-MEMÓRIA DE CÁLCULO'!E326</f>
        <v>UNIDADE</v>
      </c>
      <c r="F325" s="35">
        <f>'APÊNDICE II-MEMÓRIA DE CÁLCULO'!L326</f>
        <v>11</v>
      </c>
      <c r="G325" s="119" t="s">
        <v>809</v>
      </c>
      <c r="H325" s="120">
        <v>3</v>
      </c>
      <c r="I325" s="121">
        <v>582.33000000000004</v>
      </c>
      <c r="J325" s="119" t="s">
        <v>810</v>
      </c>
      <c r="K325" s="120">
        <v>1</v>
      </c>
      <c r="L325" s="121">
        <v>400</v>
      </c>
      <c r="M325" s="32" t="s">
        <v>31</v>
      </c>
      <c r="N325" s="32" t="s">
        <v>31</v>
      </c>
      <c r="O325" s="32" t="s">
        <v>31</v>
      </c>
      <c r="P325" s="119" t="s">
        <v>892</v>
      </c>
      <c r="Q325" s="120">
        <v>1</v>
      </c>
      <c r="R325" s="121">
        <v>679</v>
      </c>
      <c r="S325" s="119" t="s">
        <v>362</v>
      </c>
      <c r="T325" s="120">
        <v>1</v>
      </c>
      <c r="U325" s="121">
        <v>425</v>
      </c>
      <c r="V325" s="37">
        <f t="shared" si="53"/>
        <v>114.65274928561456</v>
      </c>
      <c r="W325" s="58">
        <f t="shared" si="53"/>
        <v>0.21981709372077202</v>
      </c>
      <c r="X325" s="23">
        <f t="shared" si="59"/>
        <v>541.83000000000004</v>
      </c>
      <c r="Y325" s="38">
        <f t="shared" si="54"/>
        <v>5960.13</v>
      </c>
      <c r="Z325" s="6">
        <f t="shared" si="55"/>
        <v>425</v>
      </c>
      <c r="AA325" s="5">
        <f t="shared" si="56"/>
        <v>521.58249999999998</v>
      </c>
      <c r="AB325" s="8">
        <f t="shared" si="57"/>
        <v>114.65274928561456</v>
      </c>
      <c r="AC325" s="7">
        <f t="shared" si="58"/>
        <v>0.21981709372077202</v>
      </c>
    </row>
    <row r="326" spans="1:29" ht="111" customHeight="1" x14ac:dyDescent="0.3">
      <c r="A326" s="26">
        <v>322</v>
      </c>
      <c r="B326" s="32">
        <f>'APÊNDICE II-MEMÓRIA DE CÁLCULO'!B327</f>
        <v>16377</v>
      </c>
      <c r="C326" s="33">
        <f>'APÊNDICE II-MEMÓRIA DE CÁLCULO'!C327</f>
        <v>615326</v>
      </c>
      <c r="D326" s="34" t="str">
        <f>'APÊNDICE II-MEMÓRIA DE CÁLCULO'!D327</f>
        <v>Desfibrilador Externo Automático (DEA) | Easyshock Standard 5800, material: Lítio e Dióxido de Manganês (LI-MnO2), dimensões: A: 254 mm L: 222 mm P: 76 mm, Especificação: Desfibrilador Externo Automático (DEA) | Easyshock Standard 5800. Referência: TOTH ou similar</v>
      </c>
      <c r="E326" s="33" t="str">
        <f>'APÊNDICE II-MEMÓRIA DE CÁLCULO'!E327</f>
        <v>UNIDADE</v>
      </c>
      <c r="F326" s="35">
        <f>'APÊNDICE II-MEMÓRIA DE CÁLCULO'!L327</f>
        <v>10</v>
      </c>
      <c r="G326" s="119" t="s">
        <v>809</v>
      </c>
      <c r="H326" s="120">
        <v>1</v>
      </c>
      <c r="I326" s="121">
        <v>8095</v>
      </c>
      <c r="J326" s="119" t="s">
        <v>810</v>
      </c>
      <c r="K326" s="120">
        <v>1</v>
      </c>
      <c r="L326" s="121">
        <v>7085</v>
      </c>
      <c r="M326" s="32" t="s">
        <v>31</v>
      </c>
      <c r="N326" s="32" t="s">
        <v>31</v>
      </c>
      <c r="O326" s="32" t="s">
        <v>31</v>
      </c>
      <c r="P326" s="119" t="s">
        <v>362</v>
      </c>
      <c r="Q326" s="120">
        <v>1</v>
      </c>
      <c r="R326" s="121">
        <v>8936.84</v>
      </c>
      <c r="S326" s="119" t="s">
        <v>761</v>
      </c>
      <c r="T326" s="120">
        <v>1</v>
      </c>
      <c r="U326" s="121">
        <v>7789.99</v>
      </c>
      <c r="V326" s="37">
        <f t="shared" si="53"/>
        <v>664.42705082555915</v>
      </c>
      <c r="W326" s="58">
        <f t="shared" si="53"/>
        <v>8.3295902579549164E-2</v>
      </c>
      <c r="X326" s="23">
        <f t="shared" si="59"/>
        <v>7976.71</v>
      </c>
      <c r="Y326" s="38">
        <f t="shared" si="54"/>
        <v>79767.100000000006</v>
      </c>
      <c r="Z326" s="6">
        <f t="shared" si="55"/>
        <v>7789.99</v>
      </c>
      <c r="AA326" s="5">
        <f t="shared" si="56"/>
        <v>7976.7075000000004</v>
      </c>
      <c r="AB326" s="8">
        <f t="shared" si="57"/>
        <v>664.42705082555915</v>
      </c>
      <c r="AC326" s="7">
        <f t="shared" si="58"/>
        <v>8.3295902579549164E-2</v>
      </c>
    </row>
    <row r="327" spans="1:29" ht="111" customHeight="1" x14ac:dyDescent="0.3">
      <c r="A327" s="26">
        <v>323</v>
      </c>
      <c r="B327" s="32">
        <f>'APÊNDICE II-MEMÓRIA DE CÁLCULO'!B328</f>
        <v>16378</v>
      </c>
      <c r="C327" s="33" t="str">
        <f>'APÊNDICE II-MEMÓRIA DE CÁLCULO'!C328</f>
        <v>-</v>
      </c>
      <c r="D327" s="34" t="str">
        <f>'APÊNDICE II-MEMÓRIA DE CÁLCULO'!D328</f>
        <v>Estesiômetro Individual 10g Laranja Completo, material: descartável; Especificação:Estesiômetro Individual 10g. Especificação: Estesiômetro Individual 10g. Referência: Sorri-Bauru ou similar</v>
      </c>
      <c r="E327" s="33" t="str">
        <f>'APÊNDICE II-MEMÓRIA DE CÁLCULO'!E328</f>
        <v>UNIDADE</v>
      </c>
      <c r="F327" s="35">
        <f>'APÊNDICE II-MEMÓRIA DE CÁLCULO'!L328</f>
        <v>1000</v>
      </c>
      <c r="G327" s="119" t="s">
        <v>809</v>
      </c>
      <c r="H327" s="120">
        <v>1</v>
      </c>
      <c r="I327" s="121">
        <f>340/6</f>
        <v>56.666666666666664</v>
      </c>
      <c r="J327" s="26" t="s">
        <v>31</v>
      </c>
      <c r="K327" s="32" t="s">
        <v>31</v>
      </c>
      <c r="L327" s="116" t="s">
        <v>31</v>
      </c>
      <c r="M327" s="32" t="s">
        <v>31</v>
      </c>
      <c r="N327" s="32" t="s">
        <v>31</v>
      </c>
      <c r="O327" s="32" t="s">
        <v>31</v>
      </c>
      <c r="P327" s="119" t="s">
        <v>893</v>
      </c>
      <c r="Q327" s="120">
        <v>1</v>
      </c>
      <c r="R327" s="121">
        <v>64.900000000000006</v>
      </c>
      <c r="S327" s="119" t="s">
        <v>700</v>
      </c>
      <c r="T327" s="120">
        <v>1</v>
      </c>
      <c r="U327" s="121">
        <v>72.8</v>
      </c>
      <c r="V327" s="37">
        <f t="shared" si="53"/>
        <v>6.5868743407056103</v>
      </c>
      <c r="W327" s="58">
        <f t="shared" si="53"/>
        <v>0.10166672794777995</v>
      </c>
      <c r="X327" s="23">
        <f>ROUND(SUM(I327*H327,R327*Q327,U327*T327,)/SUM(H327,Q327,T327,),2)</f>
        <v>64.790000000000006</v>
      </c>
      <c r="Y327" s="38">
        <f t="shared" si="54"/>
        <v>64790.000000000007</v>
      </c>
      <c r="Z327" s="6">
        <f t="shared" si="55"/>
        <v>60.783333333333331</v>
      </c>
      <c r="AA327" s="5">
        <f t="shared" si="56"/>
        <v>64.788888888888891</v>
      </c>
      <c r="AB327" s="8">
        <f t="shared" si="57"/>
        <v>6.5868743407056103</v>
      </c>
      <c r="AC327" s="7">
        <f t="shared" si="58"/>
        <v>0.10166672794777995</v>
      </c>
    </row>
    <row r="328" spans="1:29" ht="111" customHeight="1" x14ac:dyDescent="0.3">
      <c r="A328" s="26">
        <v>324</v>
      </c>
      <c r="B328" s="32">
        <f>'APÊNDICE II-MEMÓRIA DE CÁLCULO'!B329</f>
        <v>16379</v>
      </c>
      <c r="C328" s="33" t="str">
        <f>'APÊNDICE II-MEMÓRIA DE CÁLCULO'!C329</f>
        <v>-</v>
      </c>
      <c r="D328" s="34" t="str">
        <f>'APÊNDICE II-MEMÓRIA DE CÁLCULO'!D329</f>
        <v xml:space="preserve">Oto-oftalmoscópio LED; Dimensões do produto (cm): 17,0 x 3,5 x 4,4 cm, Modelo:MD8700 Referência: MD8700. Especificações: Oto-oftalmoscópio LED. Referência: Medicate ou similar
 </v>
      </c>
      <c r="E328" s="33" t="str">
        <f>'APÊNDICE II-MEMÓRIA DE CÁLCULO'!E329</f>
        <v>UNIDADE</v>
      </c>
      <c r="F328" s="35">
        <f>'APÊNDICE II-MEMÓRIA DE CÁLCULO'!L329</f>
        <v>12</v>
      </c>
      <c r="G328" s="119" t="s">
        <v>809</v>
      </c>
      <c r="H328" s="120">
        <v>1</v>
      </c>
      <c r="I328" s="121">
        <v>1900</v>
      </c>
      <c r="J328" s="26" t="s">
        <v>31</v>
      </c>
      <c r="K328" s="32" t="s">
        <v>31</v>
      </c>
      <c r="L328" s="116" t="s">
        <v>31</v>
      </c>
      <c r="M328" s="32" t="s">
        <v>31</v>
      </c>
      <c r="N328" s="32" t="s">
        <v>31</v>
      </c>
      <c r="O328" s="32" t="s">
        <v>31</v>
      </c>
      <c r="P328" s="119" t="s">
        <v>894</v>
      </c>
      <c r="Q328" s="120">
        <v>1</v>
      </c>
      <c r="R328" s="121">
        <v>1903</v>
      </c>
      <c r="S328" s="119" t="s">
        <v>895</v>
      </c>
      <c r="T328" s="120">
        <v>1</v>
      </c>
      <c r="U328" s="121">
        <v>1269.9000000000001</v>
      </c>
      <c r="V328" s="37">
        <f t="shared" si="53"/>
        <v>297.74161430490267</v>
      </c>
      <c r="W328" s="58">
        <f t="shared" si="53"/>
        <v>0.17607775491626251</v>
      </c>
      <c r="X328" s="23">
        <f>ROUND(SUM(I328*H328,R328*Q328,U328*T328,)/SUM(H328,Q328,T328,),2)</f>
        <v>1690.97</v>
      </c>
      <c r="Y328" s="38">
        <f t="shared" si="54"/>
        <v>20291.64</v>
      </c>
      <c r="Z328" s="6">
        <f t="shared" si="55"/>
        <v>1584.95</v>
      </c>
      <c r="AA328" s="5">
        <f t="shared" si="56"/>
        <v>1690.9666666666665</v>
      </c>
      <c r="AB328" s="8">
        <f t="shared" si="57"/>
        <v>297.74161430490267</v>
      </c>
      <c r="AC328" s="7">
        <f t="shared" si="58"/>
        <v>0.17607775491626251</v>
      </c>
    </row>
    <row r="329" spans="1:29" ht="111" customHeight="1" x14ac:dyDescent="0.3">
      <c r="A329" s="26">
        <v>325</v>
      </c>
      <c r="B329" s="32">
        <f>'APÊNDICE II-MEMÓRIA DE CÁLCULO'!B330</f>
        <v>16380</v>
      </c>
      <c r="C329" s="33">
        <f>'APÊNDICE II-MEMÓRIA DE CÁLCULO'!C330</f>
        <v>445191</v>
      </c>
      <c r="D329" s="34" t="str">
        <f>'APÊNDICE II-MEMÓRIA DE CÁLCULO'!D330</f>
        <v>Lanterna Clínica LED Radiantlite II, Modelo: Radiantlite II, Material:  metal leve, Medidas: 14cm de comprimento e 1,2 cm de diâmetro, Especificações: Lanterna Clínica LED Radiantlite II. Referência: MD ou similar.</v>
      </c>
      <c r="E329" s="33" t="str">
        <f>'APÊNDICE II-MEMÓRIA DE CÁLCULO'!E330</f>
        <v>UNIDADE</v>
      </c>
      <c r="F329" s="35">
        <f>'APÊNDICE II-MEMÓRIA DE CÁLCULO'!L330</f>
        <v>15</v>
      </c>
      <c r="G329" s="119" t="s">
        <v>809</v>
      </c>
      <c r="H329" s="120">
        <v>1</v>
      </c>
      <c r="I329" s="121">
        <v>19</v>
      </c>
      <c r="J329" s="119" t="s">
        <v>810</v>
      </c>
      <c r="K329" s="120">
        <v>1</v>
      </c>
      <c r="L329" s="121">
        <v>30</v>
      </c>
      <c r="M329" s="32" t="s">
        <v>31</v>
      </c>
      <c r="N329" s="32" t="s">
        <v>31</v>
      </c>
      <c r="O329" s="32" t="s">
        <v>31</v>
      </c>
      <c r="P329" s="119" t="s">
        <v>896</v>
      </c>
      <c r="Q329" s="120">
        <v>1</v>
      </c>
      <c r="R329" s="121">
        <v>24.9</v>
      </c>
      <c r="S329" s="119" t="s">
        <v>897</v>
      </c>
      <c r="T329" s="120">
        <v>1</v>
      </c>
      <c r="U329" s="121">
        <v>31.27</v>
      </c>
      <c r="V329" s="37">
        <f t="shared" si="53"/>
        <v>4.8384055999884943</v>
      </c>
      <c r="W329" s="58">
        <f t="shared" si="53"/>
        <v>0.18402227251073477</v>
      </c>
      <c r="X329" s="23">
        <f>ROUND(SUM(I329*H329,L329*K329,R329*Q329,U329*T329,)/SUM(H329,K329,Q329,T329,),2)</f>
        <v>26.29</v>
      </c>
      <c r="Y329" s="38">
        <f t="shared" si="54"/>
        <v>394.34999999999997</v>
      </c>
      <c r="Z329" s="6">
        <f t="shared" si="55"/>
        <v>24.9</v>
      </c>
      <c r="AA329" s="5">
        <f t="shared" si="56"/>
        <v>26.2925</v>
      </c>
      <c r="AB329" s="8">
        <f t="shared" si="57"/>
        <v>4.8384055999884943</v>
      </c>
      <c r="AC329" s="7">
        <f t="shared" si="58"/>
        <v>0.18402227251073477</v>
      </c>
    </row>
    <row r="330" spans="1:29" ht="111" customHeight="1" x14ac:dyDescent="0.3">
      <c r="A330" s="26">
        <v>326</v>
      </c>
      <c r="B330" s="32">
        <f>'APÊNDICE II-MEMÓRIA DE CÁLCULO'!B331</f>
        <v>16381</v>
      </c>
      <c r="C330" s="33" t="str">
        <f>'APÊNDICE II-MEMÓRIA DE CÁLCULO'!C331</f>
        <v>-</v>
      </c>
      <c r="D330" s="34" t="str">
        <f>'APÊNDICE II-MEMÓRIA DE CÁLCULO'!D331</f>
        <v xml:space="preserve">Martelo de Buck, Neurológico Black Edition; Material: PVC e metal pintado; Medidas: 180mm x 58mm, Epecificações: Martelo de Buck, Neurológico Black Edition, medidas: 14cm x 1,2 cm, material PVC e metal pintado. Referência: BIC ou similar
</v>
      </c>
      <c r="E330" s="33" t="str">
        <f>'APÊNDICE II-MEMÓRIA DE CÁLCULO'!E331</f>
        <v>UNIDADE</v>
      </c>
      <c r="F330" s="35">
        <f>'APÊNDICE II-MEMÓRIA DE CÁLCULO'!L331</f>
        <v>15</v>
      </c>
      <c r="G330" s="119" t="s">
        <v>809</v>
      </c>
      <c r="H330" s="120">
        <v>1</v>
      </c>
      <c r="I330" s="121">
        <v>92.26</v>
      </c>
      <c r="J330" s="26" t="s">
        <v>31</v>
      </c>
      <c r="K330" s="32" t="s">
        <v>31</v>
      </c>
      <c r="L330" s="116" t="s">
        <v>31</v>
      </c>
      <c r="M330" s="32" t="s">
        <v>31</v>
      </c>
      <c r="N330" s="32" t="s">
        <v>31</v>
      </c>
      <c r="O330" s="32" t="s">
        <v>31</v>
      </c>
      <c r="P330" s="119" t="s">
        <v>700</v>
      </c>
      <c r="Q330" s="120">
        <v>1</v>
      </c>
      <c r="R330" s="121">
        <v>72.59</v>
      </c>
      <c r="S330" s="119" t="s">
        <v>745</v>
      </c>
      <c r="T330" s="120">
        <v>1</v>
      </c>
      <c r="U330" s="121">
        <v>90.67</v>
      </c>
      <c r="V330" s="37">
        <f t="shared" si="53"/>
        <v>8.9214062170090767</v>
      </c>
      <c r="W330" s="58">
        <f t="shared" si="53"/>
        <v>0.10474412433871018</v>
      </c>
      <c r="X330" s="23">
        <f>ROUND(SUM(I330*H330,R330*Q330,U330*T330,)/SUM(H330,Q330,T330,),2)</f>
        <v>85.17</v>
      </c>
      <c r="Y330" s="38">
        <f t="shared" si="54"/>
        <v>1277.55</v>
      </c>
      <c r="Z330" s="6">
        <f t="shared" si="55"/>
        <v>81.63</v>
      </c>
      <c r="AA330" s="5">
        <f t="shared" si="56"/>
        <v>85.173333333333346</v>
      </c>
      <c r="AB330" s="8">
        <f t="shared" si="57"/>
        <v>8.9214062170090767</v>
      </c>
      <c r="AC330" s="7">
        <f t="shared" si="58"/>
        <v>0.10474412433871018</v>
      </c>
    </row>
    <row r="331" spans="1:29" ht="111" customHeight="1" x14ac:dyDescent="0.3">
      <c r="A331" s="26">
        <v>327</v>
      </c>
      <c r="B331" s="32">
        <f>'APÊNDICE II-MEMÓRIA DE CÁLCULO'!B332</f>
        <v>16382</v>
      </c>
      <c r="C331" s="33">
        <f>'APÊNDICE II-MEMÓRIA DE CÁLCULO'!C332</f>
        <v>474168</v>
      </c>
      <c r="D331" s="34" t="str">
        <f>'APÊNDICE II-MEMÓRIA DE CÁLCULO'!D332</f>
        <v>Termômetro Clínico Digital Infravermelho De Testa Sem Contato; Medidas: ‎3,8 x 14,6 x 2,1 cm, Especificações: Termômetro Clínico Digital  Infravermelho De Testa Sem Contato,  Medidas: ‎3,8 x 14,6 x 2,1 cm, cor: azul.  Referência: G-Tech ou similar.</v>
      </c>
      <c r="E331" s="33" t="str">
        <f>'APÊNDICE II-MEMÓRIA DE CÁLCULO'!E332</f>
        <v>UNIDADE</v>
      </c>
      <c r="F331" s="35">
        <f>'APÊNDICE II-MEMÓRIA DE CÁLCULO'!L332</f>
        <v>15</v>
      </c>
      <c r="G331" s="119" t="s">
        <v>809</v>
      </c>
      <c r="H331" s="120">
        <v>5</v>
      </c>
      <c r="I331" s="121">
        <v>62.27</v>
      </c>
      <c r="J331" s="119" t="s">
        <v>810</v>
      </c>
      <c r="K331" s="120">
        <v>8</v>
      </c>
      <c r="L331" s="121">
        <v>76.86</v>
      </c>
      <c r="M331" s="32" t="s">
        <v>31</v>
      </c>
      <c r="N331" s="32" t="s">
        <v>31</v>
      </c>
      <c r="O331" s="32" t="s">
        <v>31</v>
      </c>
      <c r="P331" s="119" t="s">
        <v>898</v>
      </c>
      <c r="Q331" s="120">
        <v>1</v>
      </c>
      <c r="R331" s="121">
        <v>70</v>
      </c>
      <c r="S331" s="119" t="s">
        <v>695</v>
      </c>
      <c r="T331" s="120">
        <v>1</v>
      </c>
      <c r="U331" s="121">
        <v>79.900000000000006</v>
      </c>
      <c r="V331" s="37">
        <f t="shared" si="53"/>
        <v>6.7903842858854464</v>
      </c>
      <c r="W331" s="58">
        <f t="shared" si="53"/>
        <v>9.3974802420308562E-2</v>
      </c>
      <c r="X331" s="23">
        <f t="shared" ref="X331:X336" si="60">ROUND(SUM(I331*H331,L331*K331,R331*Q331,U331*T331,)/SUM(H331,K331,Q331,T331,),2)</f>
        <v>71.739999999999995</v>
      </c>
      <c r="Y331" s="38">
        <f t="shared" si="54"/>
        <v>1076.0999999999999</v>
      </c>
      <c r="Z331" s="6">
        <f t="shared" si="55"/>
        <v>70</v>
      </c>
      <c r="AA331" s="5">
        <f t="shared" si="56"/>
        <v>72.257500000000007</v>
      </c>
      <c r="AB331" s="8">
        <f t="shared" si="57"/>
        <v>6.7903842858854464</v>
      </c>
      <c r="AC331" s="7">
        <f t="shared" si="58"/>
        <v>9.3974802420308562E-2</v>
      </c>
    </row>
    <row r="332" spans="1:29" ht="111" customHeight="1" x14ac:dyDescent="0.3">
      <c r="A332" s="26">
        <v>328</v>
      </c>
      <c r="B332" s="32">
        <f>'APÊNDICE II-MEMÓRIA DE CÁLCULO'!B333</f>
        <v>16383</v>
      </c>
      <c r="C332" s="33">
        <f>'APÊNDICE II-MEMÓRIA DE CÁLCULO'!C333</f>
        <v>454854</v>
      </c>
      <c r="D332" s="34" t="str">
        <f>'APÊNDICE II-MEMÓRIA DE CÁLCULO'!D333</f>
        <v xml:space="preserve">Cardiotocógrafo digital para monitoramento da frequência cardíaca do feto e as contrações uterinas; Modelo: Platinum - 10.1356, Medidas:  356 mm x 360 mm x 114 mm, Especificações: Cardiotocógrafo digital para monitoramento da frequência cardíaca do feto e as contrações uterinas,  Medidas:  356 mm x 360 mm x 114 mm. Referência: Kolplast ci Ltda ou similar </v>
      </c>
      <c r="E332" s="33" t="str">
        <f>'APÊNDICE II-MEMÓRIA DE CÁLCULO'!E333</f>
        <v>UNIDADE</v>
      </c>
      <c r="F332" s="35">
        <f>'APÊNDICE II-MEMÓRIA DE CÁLCULO'!L333</f>
        <v>1</v>
      </c>
      <c r="G332" s="119" t="s">
        <v>809</v>
      </c>
      <c r="H332" s="120">
        <v>12</v>
      </c>
      <c r="I332" s="121">
        <v>10633</v>
      </c>
      <c r="J332" s="119" t="s">
        <v>810</v>
      </c>
      <c r="K332" s="120">
        <v>2</v>
      </c>
      <c r="L332" s="121">
        <v>10381.5</v>
      </c>
      <c r="M332" s="32" t="s">
        <v>31</v>
      </c>
      <c r="N332" s="32" t="s">
        <v>31</v>
      </c>
      <c r="O332" s="32" t="s">
        <v>31</v>
      </c>
      <c r="P332" s="119" t="s">
        <v>899</v>
      </c>
      <c r="Q332" s="120">
        <v>1</v>
      </c>
      <c r="R332" s="121">
        <v>9679.4599999999991</v>
      </c>
      <c r="S332" s="119" t="s">
        <v>381</v>
      </c>
      <c r="T332" s="120">
        <v>1</v>
      </c>
      <c r="U332" s="121">
        <v>11398.05</v>
      </c>
      <c r="V332" s="37">
        <f t="shared" si="53"/>
        <v>614.28708355194158</v>
      </c>
      <c r="W332" s="58">
        <f t="shared" si="53"/>
        <v>5.8375647402149879E-2</v>
      </c>
      <c r="X332" s="23">
        <f t="shared" si="60"/>
        <v>10589.78</v>
      </c>
      <c r="Y332" s="38">
        <f t="shared" si="54"/>
        <v>10589.78</v>
      </c>
      <c r="Z332" s="6">
        <f t="shared" si="55"/>
        <v>10381.5</v>
      </c>
      <c r="AA332" s="5">
        <f t="shared" si="56"/>
        <v>10523.002499999999</v>
      </c>
      <c r="AB332" s="8">
        <f t="shared" si="57"/>
        <v>614.28708355194158</v>
      </c>
      <c r="AC332" s="7">
        <f t="shared" si="58"/>
        <v>5.8375647402149879E-2</v>
      </c>
    </row>
    <row r="333" spans="1:29" ht="111" customHeight="1" x14ac:dyDescent="0.3">
      <c r="A333" s="26">
        <v>329</v>
      </c>
      <c r="B333" s="32">
        <f>'APÊNDICE II-MEMÓRIA DE CÁLCULO'!B334</f>
        <v>16384</v>
      </c>
      <c r="C333" s="33">
        <f>'APÊNDICE II-MEMÓRIA DE CÁLCULO'!C334</f>
        <v>458264</v>
      </c>
      <c r="D333" s="34" t="str">
        <f>'APÊNDICE II-MEMÓRIA DE CÁLCULO'!D334</f>
        <v>Eletrocardiógrafo (ECG) Computadorizado com Software com 12 derivações simultâneas; Modelo: ECGPC, Medidas:  6x15x20,2 cm, Especificações: Eletrocardiógrafo (ECG) Computadorizado com Software com 12 derivações simultâneas, Medidas:  6x15x20,2 cm. Referência: TEB ou similar</v>
      </c>
      <c r="E333" s="33" t="str">
        <f>'APÊNDICE II-MEMÓRIA DE CÁLCULO'!E334</f>
        <v>UNIDADE</v>
      </c>
      <c r="F333" s="35">
        <f>'APÊNDICE II-MEMÓRIA DE CÁLCULO'!L334</f>
        <v>9</v>
      </c>
      <c r="G333" s="119" t="s">
        <v>809</v>
      </c>
      <c r="H333" s="120">
        <v>1</v>
      </c>
      <c r="I333" s="121">
        <v>4899</v>
      </c>
      <c r="J333" s="119" t="s">
        <v>810</v>
      </c>
      <c r="K333" s="120">
        <v>7</v>
      </c>
      <c r="L333" s="121">
        <v>5875.56</v>
      </c>
      <c r="M333" s="32" t="s">
        <v>31</v>
      </c>
      <c r="N333" s="32" t="s">
        <v>31</v>
      </c>
      <c r="O333" s="32" t="s">
        <v>31</v>
      </c>
      <c r="P333" s="119" t="s">
        <v>900</v>
      </c>
      <c r="Q333" s="120">
        <v>1</v>
      </c>
      <c r="R333" s="121">
        <v>7740</v>
      </c>
      <c r="S333" s="119" t="s">
        <v>892</v>
      </c>
      <c r="T333" s="120">
        <v>1</v>
      </c>
      <c r="U333" s="121">
        <v>7599</v>
      </c>
      <c r="V333" s="37">
        <f t="shared" si="53"/>
        <v>1193.2417342265535</v>
      </c>
      <c r="W333" s="58">
        <f t="shared" si="53"/>
        <v>0.18277733625389314</v>
      </c>
      <c r="X333" s="23">
        <f t="shared" si="60"/>
        <v>6136.69</v>
      </c>
      <c r="Y333" s="38">
        <f t="shared" si="54"/>
        <v>55230.21</v>
      </c>
      <c r="Z333" s="6">
        <f t="shared" si="55"/>
        <v>5875.56</v>
      </c>
      <c r="AA333" s="5">
        <f t="shared" si="56"/>
        <v>6528.39</v>
      </c>
      <c r="AB333" s="8">
        <f t="shared" si="57"/>
        <v>1193.2417342265535</v>
      </c>
      <c r="AC333" s="7">
        <f t="shared" si="58"/>
        <v>0.18277733625389314</v>
      </c>
    </row>
    <row r="334" spans="1:29" ht="111" customHeight="1" x14ac:dyDescent="0.3">
      <c r="A334" s="26">
        <v>330</v>
      </c>
      <c r="B334" s="32">
        <f>'APÊNDICE II-MEMÓRIA DE CÁLCULO'!B335</f>
        <v>16385</v>
      </c>
      <c r="C334" s="33">
        <f>'APÊNDICE II-MEMÓRIA DE CÁLCULO'!C335</f>
        <v>317045</v>
      </c>
      <c r="D334" s="34" t="str">
        <f>'APÊNDICE II-MEMÓRIA DE CÁLCULO'!D335</f>
        <v>Doppler Vascular Portátil para a localização de pulsos arteriais e venosos, Modelo: DV 610B,  Medidas: 4,5 x 8,5 x 18cm, Especificações:: Doppler Vascular Portátil para a localização de pulsos arteriais e venosos,  Medidas: 4,5 x 8,5 x 18cm. Marca referência: MDMEGA ou similar</v>
      </c>
      <c r="E334" s="33" t="str">
        <f>'APÊNDICE II-MEMÓRIA DE CÁLCULO'!E335</f>
        <v>UNIDADE</v>
      </c>
      <c r="F334" s="35">
        <f>'APÊNDICE II-MEMÓRIA DE CÁLCULO'!L335</f>
        <v>10</v>
      </c>
      <c r="G334" s="119" t="s">
        <v>809</v>
      </c>
      <c r="H334" s="120">
        <v>5</v>
      </c>
      <c r="I334" s="121">
        <v>1456.67</v>
      </c>
      <c r="J334" s="119" t="s">
        <v>810</v>
      </c>
      <c r="K334" s="120">
        <v>1</v>
      </c>
      <c r="L334" s="121">
        <v>1554.82</v>
      </c>
      <c r="M334" s="32" t="s">
        <v>31</v>
      </c>
      <c r="N334" s="32" t="s">
        <v>31</v>
      </c>
      <c r="O334" s="32" t="s">
        <v>31</v>
      </c>
      <c r="P334" s="119" t="s">
        <v>901</v>
      </c>
      <c r="Q334" s="120">
        <v>1</v>
      </c>
      <c r="R334" s="121">
        <v>1637</v>
      </c>
      <c r="S334" s="119" t="s">
        <v>902</v>
      </c>
      <c r="T334" s="120">
        <v>1</v>
      </c>
      <c r="U334" s="121">
        <v>1669.99</v>
      </c>
      <c r="V334" s="37">
        <f t="shared" si="53"/>
        <v>82.448383549952013</v>
      </c>
      <c r="W334" s="58">
        <f t="shared" si="53"/>
        <v>5.2195074479907837E-2</v>
      </c>
      <c r="X334" s="23">
        <f t="shared" si="60"/>
        <v>1518.15</v>
      </c>
      <c r="Y334" s="38">
        <f t="shared" si="54"/>
        <v>15181.5</v>
      </c>
      <c r="Z334" s="6">
        <f t="shared" si="55"/>
        <v>1554.82</v>
      </c>
      <c r="AA334" s="5">
        <f t="shared" si="56"/>
        <v>1579.62</v>
      </c>
      <c r="AB334" s="8">
        <f t="shared" si="57"/>
        <v>82.448383549952013</v>
      </c>
      <c r="AC334" s="7">
        <f t="shared" si="58"/>
        <v>5.2195074479907837E-2</v>
      </c>
    </row>
    <row r="335" spans="1:29" ht="111" customHeight="1" x14ac:dyDescent="0.3">
      <c r="A335" s="26">
        <v>331</v>
      </c>
      <c r="B335" s="32">
        <f>'APÊNDICE II-MEMÓRIA DE CÁLCULO'!B336</f>
        <v>16386</v>
      </c>
      <c r="C335" s="33">
        <f>'APÊNDICE II-MEMÓRIA DE CÁLCULO'!C336</f>
        <v>479757</v>
      </c>
      <c r="D335" s="34" t="str">
        <f>'APÊNDICE II-MEMÓRIA DE CÁLCULO'!D336</f>
        <v xml:space="preserve">Espéculo vaginal descartável M indicado para a realização de conização, cirurgia de alta frequência ou LEEP, Modelo: Espéculo Vaginal com Ducto Aspirador, Medidas: 10x2,2  Esterilidade: Estéril por Óxido Etileno (ETO), Especificações: Espéculo vaginal descartável indicado para a realização de conização, cirurgia de alta frequência ou LEEP, Medidas 10x2,2,Esterilidade: Estéril por Óxido Etileno (ETO). Referência: Kolpast ou similar  </v>
      </c>
      <c r="E335" s="33" t="str">
        <f>'APÊNDICE II-MEMÓRIA DE CÁLCULO'!E336</f>
        <v>UNIDADE</v>
      </c>
      <c r="F335" s="35">
        <f>'APÊNDICE II-MEMÓRIA DE CÁLCULO'!L336</f>
        <v>500</v>
      </c>
      <c r="G335" s="119" t="s">
        <v>809</v>
      </c>
      <c r="H335" s="120">
        <v>1</v>
      </c>
      <c r="I335" s="121">
        <v>1.04</v>
      </c>
      <c r="J335" s="119" t="s">
        <v>810</v>
      </c>
      <c r="K335" s="120">
        <v>4</v>
      </c>
      <c r="L335" s="121">
        <v>1.33</v>
      </c>
      <c r="M335" s="32" t="s">
        <v>31</v>
      </c>
      <c r="N335" s="32" t="s">
        <v>31</v>
      </c>
      <c r="O335" s="32" t="s">
        <v>31</v>
      </c>
      <c r="P335" s="119" t="s">
        <v>700</v>
      </c>
      <c r="Q335" s="120">
        <v>1</v>
      </c>
      <c r="R335" s="121">
        <v>1.5</v>
      </c>
      <c r="S335" s="119" t="s">
        <v>903</v>
      </c>
      <c r="T335" s="120">
        <v>1</v>
      </c>
      <c r="U335" s="121">
        <v>1.32</v>
      </c>
      <c r="V335" s="37">
        <f t="shared" si="53"/>
        <v>0.16498105951896372</v>
      </c>
      <c r="W335" s="58">
        <f t="shared" si="53"/>
        <v>0.12715303238455777</v>
      </c>
      <c r="X335" s="23">
        <f t="shared" si="60"/>
        <v>1.31</v>
      </c>
      <c r="Y335" s="38">
        <f t="shared" si="54"/>
        <v>655</v>
      </c>
      <c r="Z335" s="6">
        <f t="shared" si="55"/>
        <v>1.32</v>
      </c>
      <c r="AA335" s="5">
        <f t="shared" si="56"/>
        <v>1.2975000000000001</v>
      </c>
      <c r="AB335" s="8">
        <f t="shared" si="57"/>
        <v>0.16498105951896372</v>
      </c>
      <c r="AC335" s="7">
        <f t="shared" si="58"/>
        <v>0.12715303238455777</v>
      </c>
    </row>
    <row r="336" spans="1:29" ht="111" customHeight="1" x14ac:dyDescent="0.3">
      <c r="A336" s="26">
        <v>332</v>
      </c>
      <c r="B336" s="32">
        <f>'APÊNDICE II-MEMÓRIA DE CÁLCULO'!B337</f>
        <v>16387</v>
      </c>
      <c r="C336" s="33">
        <f>'APÊNDICE II-MEMÓRIA DE CÁLCULO'!C337</f>
        <v>479759</v>
      </c>
      <c r="D336" s="34" t="str">
        <f>'APÊNDICE II-MEMÓRIA DE CÁLCULO'!D337</f>
        <v xml:space="preserve">Espéculo vaginal descartável G indicado para a realização de conização, cirurgia de alta frequência ou LEEP, Modelo: Espéculo Vaginal com Ducto Aspirador, Medidas: 11x2,95  Esterilidade: Estéril por Óxido Etileno (ETO), Especificações: Espéculo vaginal descartável indicado para a realização de conização, cirurgia de alta frequência ou LEEP, Medidas 10x2,2,Esterilidade: Estéril por Óxido Etileno (ETO). Referência: Kolpast ou similar  
</v>
      </c>
      <c r="E336" s="33" t="str">
        <f>'APÊNDICE II-MEMÓRIA DE CÁLCULO'!E337</f>
        <v>UNIDADE</v>
      </c>
      <c r="F336" s="35">
        <f>'APÊNDICE II-MEMÓRIA DE CÁLCULO'!L337</f>
        <v>500</v>
      </c>
      <c r="G336" s="119" t="s">
        <v>809</v>
      </c>
      <c r="H336" s="120">
        <v>1</v>
      </c>
      <c r="I336" s="121">
        <v>1.29</v>
      </c>
      <c r="J336" s="119" t="s">
        <v>810</v>
      </c>
      <c r="K336" s="120">
        <v>5</v>
      </c>
      <c r="L336" s="121">
        <v>1.34</v>
      </c>
      <c r="M336" s="32" t="s">
        <v>31</v>
      </c>
      <c r="N336" s="32" t="s">
        <v>31</v>
      </c>
      <c r="O336" s="32" t="s">
        <v>31</v>
      </c>
      <c r="P336" s="119" t="s">
        <v>406</v>
      </c>
      <c r="Q336" s="120">
        <v>1</v>
      </c>
      <c r="R336" s="121">
        <v>1.28</v>
      </c>
      <c r="S336" s="119" t="s">
        <v>396</v>
      </c>
      <c r="T336" s="120">
        <v>1</v>
      </c>
      <c r="U336" s="121">
        <v>1.94</v>
      </c>
      <c r="V336" s="37">
        <f t="shared" si="53"/>
        <v>0.27662022702615296</v>
      </c>
      <c r="W336" s="58">
        <f t="shared" si="53"/>
        <v>0.18914203557343795</v>
      </c>
      <c r="X336" s="23">
        <f t="shared" si="60"/>
        <v>1.4</v>
      </c>
      <c r="Y336" s="38">
        <f t="shared" si="54"/>
        <v>700</v>
      </c>
      <c r="Z336" s="6">
        <f t="shared" si="55"/>
        <v>1.29</v>
      </c>
      <c r="AA336" s="5">
        <f t="shared" si="56"/>
        <v>1.4624999999999999</v>
      </c>
      <c r="AB336" s="8">
        <f t="shared" si="57"/>
        <v>0.27662022702615296</v>
      </c>
      <c r="AC336" s="7">
        <f t="shared" si="58"/>
        <v>0.18914203557343795</v>
      </c>
    </row>
    <row r="337" spans="1:29" ht="111" customHeight="1" x14ac:dyDescent="0.3">
      <c r="A337" s="26">
        <v>333</v>
      </c>
      <c r="B337" s="32">
        <f>'APÊNDICE II-MEMÓRIA DE CÁLCULO'!B338</f>
        <v>16388</v>
      </c>
      <c r="C337" s="33">
        <f>'APÊNDICE II-MEMÓRIA DE CÁLCULO'!C338</f>
        <v>434278</v>
      </c>
      <c r="D337" s="34" t="str">
        <f>'APÊNDICE II-MEMÓRIA DE CÁLCULO'!D338</f>
        <v>Solução corante de ácido acético 1000ML, Concentração: 5%, Forma farmacêutica: Solução, Modelo: Frasco, Especificações: Solução corante de ácido acético 1000ML, Concentração: 5%, Forma farmacêutica: Solução. Referência: Renylab ou similar</v>
      </c>
      <c r="E337" s="33" t="str">
        <f>'APÊNDICE II-MEMÓRIA DE CÁLCULO'!E338</f>
        <v>UNIDADE</v>
      </c>
      <c r="F337" s="35">
        <f>'APÊNDICE II-MEMÓRIA DE CÁLCULO'!L338</f>
        <v>60</v>
      </c>
      <c r="G337" s="26" t="s">
        <v>31</v>
      </c>
      <c r="H337" s="32" t="s">
        <v>31</v>
      </c>
      <c r="I337" s="116" t="s">
        <v>31</v>
      </c>
      <c r="J337" s="119" t="s">
        <v>810</v>
      </c>
      <c r="K337" s="120">
        <v>1</v>
      </c>
      <c r="L337" s="121">
        <v>33</v>
      </c>
      <c r="M337" s="32" t="s">
        <v>31</v>
      </c>
      <c r="N337" s="32" t="s">
        <v>31</v>
      </c>
      <c r="O337" s="32" t="s">
        <v>31</v>
      </c>
      <c r="P337" s="119" t="s">
        <v>904</v>
      </c>
      <c r="Q337" s="120">
        <v>1</v>
      </c>
      <c r="R337" s="121">
        <v>47.22</v>
      </c>
      <c r="S337" s="119" t="s">
        <v>905</v>
      </c>
      <c r="T337" s="120">
        <v>1</v>
      </c>
      <c r="U337" s="121">
        <v>39.9</v>
      </c>
      <c r="V337" s="37">
        <f t="shared" si="53"/>
        <v>5.8061346866913048</v>
      </c>
      <c r="W337" s="58">
        <f t="shared" si="53"/>
        <v>0.14500835880847415</v>
      </c>
      <c r="X337" s="23">
        <f>ROUND(SUM(L337*K337,R337*Q337,U337*T337,)/SUM(K337,Q337,T337,),2)</f>
        <v>40.04</v>
      </c>
      <c r="Y337" s="38">
        <f t="shared" si="54"/>
        <v>2402.4</v>
      </c>
      <c r="Z337" s="6">
        <f t="shared" si="55"/>
        <v>36.450000000000003</v>
      </c>
      <c r="AA337" s="5">
        <f t="shared" si="56"/>
        <v>40.04</v>
      </c>
      <c r="AB337" s="8">
        <f t="shared" si="57"/>
        <v>5.8061346866913048</v>
      </c>
      <c r="AC337" s="7">
        <f t="shared" si="58"/>
        <v>0.14500835880847415</v>
      </c>
    </row>
    <row r="338" spans="1:29" ht="111" customHeight="1" x14ac:dyDescent="0.3">
      <c r="A338" s="26">
        <v>334</v>
      </c>
      <c r="B338" s="32">
        <f>'APÊNDICE II-MEMÓRIA DE CÁLCULO'!B339</f>
        <v>16389</v>
      </c>
      <c r="C338" s="33" t="str">
        <f>'APÊNDICE II-MEMÓRIA DE CÁLCULO'!C339</f>
        <v>-</v>
      </c>
      <c r="D338" s="34" t="str">
        <f>'APÊNDICE II-MEMÓRIA DE CÁLCULO'!D339</f>
        <v>Solução de Lugol 500ML, Concentração: 5%, Forma farmacêutica: Solução, Modelo: Frasco, Concentração: 5%, Forma farmacêutica: Solução. Marca referência: Laborclin ou referência</v>
      </c>
      <c r="E338" s="33" t="str">
        <f>'APÊNDICE II-MEMÓRIA DE CÁLCULO'!E339</f>
        <v>UNIDADE</v>
      </c>
      <c r="F338" s="35">
        <f>'APÊNDICE II-MEMÓRIA DE CÁLCULO'!L339</f>
        <v>80</v>
      </c>
      <c r="G338" s="119" t="s">
        <v>809</v>
      </c>
      <c r="H338" s="120">
        <v>1</v>
      </c>
      <c r="I338" s="121">
        <v>70</v>
      </c>
      <c r="J338" s="26" t="s">
        <v>31</v>
      </c>
      <c r="K338" s="32" t="s">
        <v>31</v>
      </c>
      <c r="L338" s="116" t="s">
        <v>31</v>
      </c>
      <c r="M338" s="32" t="s">
        <v>31</v>
      </c>
      <c r="N338" s="32" t="s">
        <v>31</v>
      </c>
      <c r="O338" s="32" t="s">
        <v>31</v>
      </c>
      <c r="P338" s="119" t="s">
        <v>906</v>
      </c>
      <c r="Q338" s="120">
        <v>1</v>
      </c>
      <c r="R338" s="121">
        <v>88.35</v>
      </c>
      <c r="S338" s="119" t="s">
        <v>683</v>
      </c>
      <c r="T338" s="120">
        <v>1</v>
      </c>
      <c r="U338" s="121">
        <v>99.2</v>
      </c>
      <c r="V338" s="37">
        <f t="shared" si="53"/>
        <v>12.051210174362879</v>
      </c>
      <c r="W338" s="58">
        <f t="shared" si="53"/>
        <v>0.14037519131465204</v>
      </c>
      <c r="X338" s="23">
        <f>ROUND(SUM(I338*H338,R338*Q338,U338*T338,)/SUM(H338,Q338,T338,),2)</f>
        <v>85.85</v>
      </c>
      <c r="Y338" s="38">
        <f t="shared" si="54"/>
        <v>6868</v>
      </c>
      <c r="Z338" s="6">
        <f t="shared" si="55"/>
        <v>79.174999999999997</v>
      </c>
      <c r="AA338" s="5">
        <f t="shared" si="56"/>
        <v>85.850000000000009</v>
      </c>
      <c r="AB338" s="8">
        <f t="shared" si="57"/>
        <v>12.051210174362879</v>
      </c>
      <c r="AC338" s="7">
        <f t="shared" si="58"/>
        <v>0.14037519131465204</v>
      </c>
    </row>
    <row r="339" spans="1:29" ht="111" customHeight="1" x14ac:dyDescent="0.3">
      <c r="A339" s="26">
        <v>335</v>
      </c>
      <c r="B339" s="32">
        <f>'APÊNDICE II-MEMÓRIA DE CÁLCULO'!B340</f>
        <v>16390</v>
      </c>
      <c r="C339" s="33">
        <f>'APÊNDICE II-MEMÓRIA DE CÁLCULO'!C340</f>
        <v>482047</v>
      </c>
      <c r="D339" s="34" t="str">
        <f>'APÊNDICE II-MEMÓRIA DE CÁLCULO'!D340</f>
        <v>Foco clínico com iluminação LED e espelho de pedestal para iluminação em diversos procedimentos, Modelo: Foco Clinico com espelho - 10.1212, Especificações: Foco clínico com iluminação LED e espelho de pedestal para iluminação em diversos procedimentos, característica adicional: Cor branco. Referência: Kolpast ou siimilar</v>
      </c>
      <c r="E339" s="33" t="str">
        <f>'APÊNDICE II-MEMÓRIA DE CÁLCULO'!E340</f>
        <v>UNIDADE</v>
      </c>
      <c r="F339" s="35">
        <f>'APÊNDICE II-MEMÓRIA DE CÁLCULO'!L340</f>
        <v>10</v>
      </c>
      <c r="G339" s="119" t="s">
        <v>809</v>
      </c>
      <c r="H339" s="120">
        <v>5</v>
      </c>
      <c r="I339" s="121">
        <v>502.67</v>
      </c>
      <c r="J339" s="119" t="s">
        <v>810</v>
      </c>
      <c r="K339" s="120">
        <v>5</v>
      </c>
      <c r="L339" s="121">
        <v>515.4</v>
      </c>
      <c r="M339" s="32" t="s">
        <v>31</v>
      </c>
      <c r="N339" s="32" t="s">
        <v>31</v>
      </c>
      <c r="O339" s="32" t="s">
        <v>31</v>
      </c>
      <c r="P339" s="119" t="s">
        <v>363</v>
      </c>
      <c r="Q339" s="120">
        <v>1</v>
      </c>
      <c r="R339" s="121">
        <v>685.02</v>
      </c>
      <c r="S339" s="119" t="s">
        <v>894</v>
      </c>
      <c r="T339" s="120">
        <v>1</v>
      </c>
      <c r="U339" s="121">
        <v>525</v>
      </c>
      <c r="V339" s="37">
        <f t="shared" si="53"/>
        <v>74.322653469517462</v>
      </c>
      <c r="W339" s="58">
        <f t="shared" si="53"/>
        <v>0.13342845840072431</v>
      </c>
      <c r="X339" s="23">
        <f>ROUND(SUM(I339*H339,L339*K339,R339*Q339,U339*T339,)/SUM(H339,K339,Q339,T339,),2)</f>
        <v>525.03</v>
      </c>
      <c r="Y339" s="38">
        <f t="shared" si="54"/>
        <v>5250.2999999999993</v>
      </c>
      <c r="Z339" s="6">
        <f t="shared" si="55"/>
        <v>515.4</v>
      </c>
      <c r="AA339" s="5">
        <f t="shared" si="56"/>
        <v>557.02250000000004</v>
      </c>
      <c r="AB339" s="8">
        <f t="shared" si="57"/>
        <v>74.322653469517462</v>
      </c>
      <c r="AC339" s="7">
        <f t="shared" si="58"/>
        <v>0.13342845840072431</v>
      </c>
    </row>
    <row r="340" spans="1:29" ht="111" customHeight="1" x14ac:dyDescent="0.3">
      <c r="A340" s="26">
        <v>336</v>
      </c>
      <c r="B340" s="32">
        <f>'APÊNDICE II-MEMÓRIA DE CÁLCULO'!B341</f>
        <v>16391</v>
      </c>
      <c r="C340" s="33">
        <f>'APÊNDICE II-MEMÓRIA DE CÁLCULO'!C341</f>
        <v>458131</v>
      </c>
      <c r="D340" s="34" t="str">
        <f>'APÊNDICE II-MEMÓRIA DE CÁLCULO'!D341</f>
        <v xml:space="preserve">Frasco para Biópsia com tampa, Capacidade: 15 a 23ml, Especificações:  Frasco para Biópsia com tampa,Capacidade: 15 a 23m. Referência: TB ou similar.
</v>
      </c>
      <c r="E340" s="33" t="str">
        <f>'APÊNDICE II-MEMÓRIA DE CÁLCULO'!E341</f>
        <v>UNIDADE</v>
      </c>
      <c r="F340" s="35">
        <f>'APÊNDICE II-MEMÓRIA DE CÁLCULO'!L341</f>
        <v>1000</v>
      </c>
      <c r="G340" s="26" t="s">
        <v>31</v>
      </c>
      <c r="H340" s="32" t="s">
        <v>31</v>
      </c>
      <c r="I340" s="116" t="s">
        <v>31</v>
      </c>
      <c r="J340" s="119" t="s">
        <v>810</v>
      </c>
      <c r="K340" s="120">
        <v>1</v>
      </c>
      <c r="L340" s="121">
        <v>1.89</v>
      </c>
      <c r="M340" s="32" t="s">
        <v>31</v>
      </c>
      <c r="N340" s="32" t="s">
        <v>31</v>
      </c>
      <c r="O340" s="32" t="s">
        <v>31</v>
      </c>
      <c r="P340" s="119" t="s">
        <v>906</v>
      </c>
      <c r="Q340" s="120">
        <v>1</v>
      </c>
      <c r="R340" s="121">
        <v>3.5</v>
      </c>
      <c r="S340" s="119" t="s">
        <v>685</v>
      </c>
      <c r="T340" s="120">
        <v>1</v>
      </c>
      <c r="U340" s="121">
        <f>99.36/25</f>
        <v>3.9744000000000002</v>
      </c>
      <c r="V340" s="37">
        <f t="shared" si="53"/>
        <v>0.89205622144695718</v>
      </c>
      <c r="W340" s="58">
        <f t="shared" si="53"/>
        <v>0.28578111404263717</v>
      </c>
      <c r="X340" s="23">
        <f>ROUND(SUM(L340*K340,R340*Q340,U340*T340,)/SUM(K340,Q340,T340,),2)</f>
        <v>3.12</v>
      </c>
      <c r="Y340" s="38">
        <f t="shared" si="54"/>
        <v>3120</v>
      </c>
      <c r="Z340" s="6">
        <f t="shared" si="55"/>
        <v>2.6949999999999998</v>
      </c>
      <c r="AA340" s="5">
        <f t="shared" si="56"/>
        <v>3.1214666666666666</v>
      </c>
      <c r="AB340" s="8">
        <f t="shared" si="57"/>
        <v>0.89205622144695718</v>
      </c>
      <c r="AC340" s="7">
        <f t="shared" si="58"/>
        <v>0.28578111404263717</v>
      </c>
    </row>
    <row r="341" spans="1:29" ht="111" customHeight="1" x14ac:dyDescent="0.3">
      <c r="A341" s="26">
        <v>337</v>
      </c>
      <c r="B341" s="32">
        <f>'APÊNDICE II-MEMÓRIA DE CÁLCULO'!B342</f>
        <v>16392</v>
      </c>
      <c r="C341" s="33">
        <f>'APÊNDICE II-MEMÓRIA DE CÁLCULO'!C342</f>
        <v>269073</v>
      </c>
      <c r="D341" s="34" t="str">
        <f>'APÊNDICE II-MEMÓRIA DE CÁLCULO'!D342</f>
        <v xml:space="preserve">Ácido tricloroacetico 1000ML, Concentração: 80%, Forma farmacêutica: Solução, </v>
      </c>
      <c r="E341" s="33" t="str">
        <f>'APÊNDICE II-MEMÓRIA DE CÁLCULO'!E342</f>
        <v>UNIDADE</v>
      </c>
      <c r="F341" s="35">
        <f>'APÊNDICE II-MEMÓRIA DE CÁLCULO'!L342</f>
        <v>100</v>
      </c>
      <c r="G341" s="26" t="s">
        <v>31</v>
      </c>
      <c r="H341" s="32" t="s">
        <v>31</v>
      </c>
      <c r="I341" s="116" t="s">
        <v>31</v>
      </c>
      <c r="J341" s="119" t="s">
        <v>810</v>
      </c>
      <c r="K341" s="120">
        <v>1</v>
      </c>
      <c r="L341" s="121">
        <f>29.87*10</f>
        <v>298.7</v>
      </c>
      <c r="M341" s="32" t="s">
        <v>31</v>
      </c>
      <c r="N341" s="32" t="s">
        <v>31</v>
      </c>
      <c r="O341" s="32" t="s">
        <v>31</v>
      </c>
      <c r="P341" s="119" t="s">
        <v>723</v>
      </c>
      <c r="Q341" s="120">
        <v>1</v>
      </c>
      <c r="R341" s="121">
        <v>196.99</v>
      </c>
      <c r="S341" s="119" t="s">
        <v>907</v>
      </c>
      <c r="T341" s="120">
        <v>1</v>
      </c>
      <c r="U341" s="121">
        <v>229.33</v>
      </c>
      <c r="V341" s="37">
        <f t="shared" si="53"/>
        <v>42.430330608605331</v>
      </c>
      <c r="W341" s="58">
        <f t="shared" si="53"/>
        <v>0.17556893854764835</v>
      </c>
      <c r="X341" s="23">
        <f>ROUND(SUM(L341*K341,R341*Q341,U341*T341,)/SUM(K341,Q341,T341,),2)</f>
        <v>241.67</v>
      </c>
      <c r="Y341" s="38">
        <f t="shared" si="54"/>
        <v>24167</v>
      </c>
      <c r="Z341" s="6">
        <f t="shared" si="55"/>
        <v>213.16000000000003</v>
      </c>
      <c r="AA341" s="5">
        <f t="shared" si="56"/>
        <v>241.67333333333332</v>
      </c>
      <c r="AB341" s="8">
        <f t="shared" si="57"/>
        <v>42.430330608605331</v>
      </c>
      <c r="AC341" s="7">
        <f t="shared" si="58"/>
        <v>0.17556893854764835</v>
      </c>
    </row>
    <row r="342" spans="1:29" ht="111" customHeight="1" x14ac:dyDescent="0.3">
      <c r="A342" s="26">
        <v>338</v>
      </c>
      <c r="B342" s="32">
        <f>'APÊNDICE II-MEMÓRIA DE CÁLCULO'!B343</f>
        <v>16394</v>
      </c>
      <c r="C342" s="33">
        <f>'APÊNDICE II-MEMÓRIA DE CÁLCULO'!C343</f>
        <v>442460</v>
      </c>
      <c r="D342" s="34" t="str">
        <f>'APÊNDICE II-MEMÓRIA DE CÁLCULO'!D343</f>
        <v>Histerômetro Collin, medidas: 23cm, material: Aço Inox 304, esterilidade: esterilizável, Especificações: das: 23cm, material: Aço Inox 304, esterilidade: esterilizável.  Referência: Rhosse ou similar</v>
      </c>
      <c r="E342" s="33" t="str">
        <f>'APÊNDICE II-MEMÓRIA DE CÁLCULO'!E343</f>
        <v>UNIDADE</v>
      </c>
      <c r="F342" s="35">
        <f>'APÊNDICE II-MEMÓRIA DE CÁLCULO'!L343</f>
        <v>38</v>
      </c>
      <c r="G342" s="119" t="s">
        <v>809</v>
      </c>
      <c r="H342" s="120">
        <v>1</v>
      </c>
      <c r="I342" s="121">
        <v>131.72</v>
      </c>
      <c r="J342" s="119" t="s">
        <v>810</v>
      </c>
      <c r="K342" s="120">
        <v>1</v>
      </c>
      <c r="L342" s="121">
        <v>98.87</v>
      </c>
      <c r="M342" s="32" t="s">
        <v>31</v>
      </c>
      <c r="N342" s="32" t="s">
        <v>31</v>
      </c>
      <c r="O342" s="32" t="s">
        <v>31</v>
      </c>
      <c r="P342" s="119" t="s">
        <v>362</v>
      </c>
      <c r="Q342" s="120">
        <v>1</v>
      </c>
      <c r="R342" s="121">
        <v>125</v>
      </c>
      <c r="S342" s="119" t="s">
        <v>891</v>
      </c>
      <c r="T342" s="120">
        <v>1</v>
      </c>
      <c r="U342" s="121">
        <v>105</v>
      </c>
      <c r="V342" s="37">
        <f t="shared" si="53"/>
        <v>13.598237707511885</v>
      </c>
      <c r="W342" s="58">
        <f t="shared" si="53"/>
        <v>0.11809407679291242</v>
      </c>
      <c r="X342" s="23">
        <f>ROUND(SUM(I342*H342,L342*K342,R342*Q342,U342*T342,)/SUM(H342,K342,Q342,T342,),2)</f>
        <v>115.15</v>
      </c>
      <c r="Y342" s="38">
        <f t="shared" si="54"/>
        <v>4375.7</v>
      </c>
      <c r="Z342" s="6">
        <f t="shared" si="55"/>
        <v>105</v>
      </c>
      <c r="AA342" s="5">
        <f t="shared" si="56"/>
        <v>115.14750000000001</v>
      </c>
      <c r="AB342" s="8">
        <f t="shared" si="57"/>
        <v>13.598237707511885</v>
      </c>
      <c r="AC342" s="7">
        <f t="shared" si="58"/>
        <v>0.11809407679291242</v>
      </c>
    </row>
    <row r="343" spans="1:29" ht="111" customHeight="1" x14ac:dyDescent="0.3">
      <c r="A343" s="26">
        <v>339</v>
      </c>
      <c r="B343" s="32">
        <f>'APÊNDICE II-MEMÓRIA DE CÁLCULO'!B344</f>
        <v>16399</v>
      </c>
      <c r="C343" s="33">
        <f>'APÊNDICE II-MEMÓRIA DE CÁLCULO'!C344</f>
        <v>467874</v>
      </c>
      <c r="D343" s="34" t="str">
        <f>'APÊNDICE II-MEMÓRIA DE CÁLCULO'!D344</f>
        <v>Pinça cheron  descartavél medidas: 24cm, material: resina de engenharia  para auxilio em exames ginecolócos.</v>
      </c>
      <c r="E343" s="33" t="str">
        <f>'APÊNDICE II-MEMÓRIA DE CÁLCULO'!E344</f>
        <v>UNIDADE</v>
      </c>
      <c r="F343" s="35">
        <f>'APÊNDICE II-MEMÓRIA DE CÁLCULO'!L344</f>
        <v>2000</v>
      </c>
      <c r="G343" s="119" t="s">
        <v>809</v>
      </c>
      <c r="H343" s="120">
        <v>1</v>
      </c>
      <c r="I343" s="121">
        <v>1.4</v>
      </c>
      <c r="J343" s="119" t="s">
        <v>810</v>
      </c>
      <c r="K343" s="120">
        <v>2</v>
      </c>
      <c r="L343" s="121">
        <v>2.48</v>
      </c>
      <c r="M343" s="32" t="s">
        <v>31</v>
      </c>
      <c r="N343" s="32" t="s">
        <v>31</v>
      </c>
      <c r="O343" s="32" t="s">
        <v>31</v>
      </c>
      <c r="P343" s="119" t="s">
        <v>771</v>
      </c>
      <c r="Q343" s="120">
        <v>1</v>
      </c>
      <c r="R343" s="121">
        <v>2.15</v>
      </c>
      <c r="S343" s="119" t="s">
        <v>370</v>
      </c>
      <c r="T343" s="120">
        <v>1</v>
      </c>
      <c r="U343" s="121">
        <v>2.19</v>
      </c>
      <c r="V343" s="37">
        <f t="shared" si="53"/>
        <v>0.39903007405457458</v>
      </c>
      <c r="W343" s="58">
        <f t="shared" si="53"/>
        <v>0.19417521851804115</v>
      </c>
      <c r="X343" s="23">
        <f>ROUND(SUM(I343*H343,L343*K343,R343*Q343,U343*T343,)/SUM(H343,K343,Q343,T343,),2)</f>
        <v>2.14</v>
      </c>
      <c r="Y343" s="38">
        <f t="shared" si="54"/>
        <v>4280</v>
      </c>
      <c r="Z343" s="6">
        <f t="shared" si="55"/>
        <v>2.15</v>
      </c>
      <c r="AA343" s="5">
        <f t="shared" si="56"/>
        <v>2.0550000000000002</v>
      </c>
      <c r="AB343" s="8">
        <f t="shared" si="57"/>
        <v>0.39903007405457458</v>
      </c>
      <c r="AC343" s="7">
        <f t="shared" si="58"/>
        <v>0.19417521851804115</v>
      </c>
    </row>
    <row r="344" spans="1:29" ht="111" customHeight="1" x14ac:dyDescent="0.3">
      <c r="A344" s="26">
        <v>340</v>
      </c>
      <c r="B344" s="32">
        <f>'APÊNDICE II-MEMÓRIA DE CÁLCULO'!B345</f>
        <v>16395</v>
      </c>
      <c r="C344" s="33" t="str">
        <f>'APÊNDICE II-MEMÓRIA DE CÁLCULO'!C345</f>
        <v>-</v>
      </c>
      <c r="D344" s="34" t="str">
        <f>'APÊNDICE II-MEMÓRIA DE CÁLCULO'!D345</f>
        <v xml:space="preserve">Histerômetro Estéril Descartável, medidas: 25cm, material: Poliestireno, Especificação: Histerômetro Estéril Descartável, medidas: 25cm, material: Poliestireno.  </v>
      </c>
      <c r="E344" s="33" t="str">
        <f>'APÊNDICE II-MEMÓRIA DE CÁLCULO'!E345</f>
        <v>UNIDADE</v>
      </c>
      <c r="F344" s="35">
        <f>'APÊNDICE II-MEMÓRIA DE CÁLCULO'!L345</f>
        <v>2000</v>
      </c>
      <c r="G344" s="119" t="s">
        <v>809</v>
      </c>
      <c r="H344" s="120">
        <v>10</v>
      </c>
      <c r="I344" s="121">
        <v>3.52</v>
      </c>
      <c r="J344" s="26" t="s">
        <v>31</v>
      </c>
      <c r="K344" s="32" t="s">
        <v>31</v>
      </c>
      <c r="L344" s="116" t="s">
        <v>31</v>
      </c>
      <c r="M344" s="32" t="s">
        <v>31</v>
      </c>
      <c r="N344" s="32" t="s">
        <v>31</v>
      </c>
      <c r="O344" s="32" t="s">
        <v>31</v>
      </c>
      <c r="P344" s="119" t="s">
        <v>891</v>
      </c>
      <c r="Q344" s="120">
        <v>1</v>
      </c>
      <c r="R344" s="121">
        <v>4.7</v>
      </c>
      <c r="S344" s="119" t="s">
        <v>386</v>
      </c>
      <c r="T344" s="120">
        <v>1</v>
      </c>
      <c r="U344" s="121">
        <v>4.45</v>
      </c>
      <c r="V344" s="37">
        <f t="shared" si="53"/>
        <v>0.50769632218044569</v>
      </c>
      <c r="W344" s="58">
        <f t="shared" si="53"/>
        <v>0.12021223098195241</v>
      </c>
      <c r="X344" s="23">
        <f>ROUND(SUM(I344*H344,R344*Q344,U344*T344,)/SUM(H344,Q344,T344,),2)</f>
        <v>3.7</v>
      </c>
      <c r="Y344" s="38">
        <f t="shared" si="54"/>
        <v>7400</v>
      </c>
      <c r="Z344" s="6">
        <f t="shared" si="55"/>
        <v>3.9850000000000003</v>
      </c>
      <c r="AA344" s="5">
        <f t="shared" si="56"/>
        <v>4.2233333333333336</v>
      </c>
      <c r="AB344" s="8">
        <f t="shared" si="57"/>
        <v>0.50769632218044569</v>
      </c>
      <c r="AC344" s="7">
        <f t="shared" si="58"/>
        <v>0.12021223098195241</v>
      </c>
    </row>
    <row r="345" spans="1:29" ht="111" customHeight="1" x14ac:dyDescent="0.3">
      <c r="A345" s="26">
        <v>341</v>
      </c>
      <c r="B345" s="32">
        <f>'APÊNDICE II-MEMÓRIA DE CÁLCULO'!B346</f>
        <v>16398</v>
      </c>
      <c r="C345" s="33">
        <f>'APÊNDICE II-MEMÓRIA DE CÁLCULO'!C346</f>
        <v>279895</v>
      </c>
      <c r="D345" s="34" t="str">
        <f>'APÊNDICE II-MEMÓRIA DE CÁLCULO'!D346</f>
        <v xml:space="preserve">Almotolia Transparente Pinceta Bico Reto 500ML, material: plástico, Especificação:  Almotolia Transparente Pinceta Bico Reto 500ML, material: plástico. </v>
      </c>
      <c r="E345" s="33" t="str">
        <f>'APÊNDICE II-MEMÓRIA DE CÁLCULO'!E346</f>
        <v>UNIDADE</v>
      </c>
      <c r="F345" s="35">
        <f>'APÊNDICE II-MEMÓRIA DE CÁLCULO'!L346</f>
        <v>300</v>
      </c>
      <c r="G345" s="119" t="s">
        <v>809</v>
      </c>
      <c r="H345" s="120">
        <v>1</v>
      </c>
      <c r="I345" s="121">
        <v>6.95</v>
      </c>
      <c r="J345" s="119" t="s">
        <v>810</v>
      </c>
      <c r="K345" s="120">
        <v>1</v>
      </c>
      <c r="L345" s="121">
        <v>5.95</v>
      </c>
      <c r="M345" s="32" t="s">
        <v>31</v>
      </c>
      <c r="N345" s="32" t="s">
        <v>31</v>
      </c>
      <c r="O345" s="32" t="s">
        <v>31</v>
      </c>
      <c r="P345" s="119" t="s">
        <v>723</v>
      </c>
      <c r="Q345" s="120">
        <v>1</v>
      </c>
      <c r="R345" s="121">
        <v>6.32</v>
      </c>
      <c r="S345" s="119" t="s">
        <v>908</v>
      </c>
      <c r="T345" s="120">
        <v>1</v>
      </c>
      <c r="U345" s="121">
        <v>4.93</v>
      </c>
      <c r="V345" s="37">
        <f t="shared" si="53"/>
        <v>0.73257678778405477</v>
      </c>
      <c r="W345" s="58">
        <f t="shared" si="53"/>
        <v>0.12133777023338382</v>
      </c>
      <c r="X345" s="23">
        <f>ROUND(SUM(I345*H345,L345*K345,R345*Q345,U345*T345,)/SUM(H345,K345,Q345,T345,),2)</f>
        <v>6.04</v>
      </c>
      <c r="Y345" s="38">
        <f t="shared" si="54"/>
        <v>1812</v>
      </c>
      <c r="Z345" s="6">
        <f t="shared" si="55"/>
        <v>5.95</v>
      </c>
      <c r="AA345" s="5">
        <f t="shared" si="56"/>
        <v>6.0374999999999996</v>
      </c>
      <c r="AB345" s="8">
        <f t="shared" si="57"/>
        <v>0.73257678778405477</v>
      </c>
      <c r="AC345" s="7">
        <f t="shared" si="58"/>
        <v>0.12133777023338382</v>
      </c>
    </row>
    <row r="346" spans="1:29" ht="111" customHeight="1" x14ac:dyDescent="0.3">
      <c r="A346" s="26">
        <v>342</v>
      </c>
      <c r="B346" s="32">
        <f>'APÊNDICE II-MEMÓRIA DE CÁLCULO'!B347</f>
        <v>8050</v>
      </c>
      <c r="C346" s="33">
        <f>'APÊNDICE II-MEMÓRIA DE CÁLCULO'!C347</f>
        <v>274863</v>
      </c>
      <c r="D346" s="34" t="str">
        <f>'APÊNDICE II-MEMÓRIA DE CÁLCULO'!D347</f>
        <v>NEGATOSCOPIO - Lâmpada Fluorescente/ 2 Corpos; garantia de 12 meses.</v>
      </c>
      <c r="E346" s="33" t="str">
        <f>'APÊNDICE II-MEMÓRIA DE CÁLCULO'!E347</f>
        <v>UNIDADE</v>
      </c>
      <c r="F346" s="35">
        <f>'APÊNDICE II-MEMÓRIA DE CÁLCULO'!L347</f>
        <v>10</v>
      </c>
      <c r="G346" s="119" t="s">
        <v>809</v>
      </c>
      <c r="H346" s="120">
        <v>2</v>
      </c>
      <c r="I346" s="121">
        <v>818.76</v>
      </c>
      <c r="J346" s="119" t="s">
        <v>810</v>
      </c>
      <c r="K346" s="120">
        <v>1</v>
      </c>
      <c r="L346" s="121">
        <v>706.64</v>
      </c>
      <c r="M346" s="32" t="s">
        <v>31</v>
      </c>
      <c r="N346" s="32" t="s">
        <v>31</v>
      </c>
      <c r="O346" s="32" t="s">
        <v>31</v>
      </c>
      <c r="P346" s="119" t="s">
        <v>909</v>
      </c>
      <c r="Q346" s="120">
        <v>1</v>
      </c>
      <c r="R346" s="121">
        <v>765</v>
      </c>
      <c r="S346" s="119" t="s">
        <v>895</v>
      </c>
      <c r="T346" s="120">
        <v>1</v>
      </c>
      <c r="U346" s="121">
        <v>639.9</v>
      </c>
      <c r="V346" s="37">
        <f t="shared" si="53"/>
        <v>66.596761745598414</v>
      </c>
      <c r="W346" s="58">
        <f t="shared" si="53"/>
        <v>9.09077729182656E-2</v>
      </c>
      <c r="X346" s="23">
        <f>ROUND(SUM(I346*H346,L346*K346,R346*Q346,U346*T346,)/SUM(H346,K346,Q346,T346,),2)</f>
        <v>749.81</v>
      </c>
      <c r="Y346" s="38">
        <f t="shared" si="54"/>
        <v>7498.0999999999995</v>
      </c>
      <c r="Z346" s="6">
        <f t="shared" si="55"/>
        <v>706.64</v>
      </c>
      <c r="AA346" s="5">
        <f t="shared" si="56"/>
        <v>732.57499999999993</v>
      </c>
      <c r="AB346" s="8">
        <f t="shared" si="57"/>
        <v>66.596761745598414</v>
      </c>
      <c r="AC346" s="7">
        <f t="shared" si="58"/>
        <v>9.09077729182656E-2</v>
      </c>
    </row>
    <row r="347" spans="1:29" ht="111" customHeight="1" x14ac:dyDescent="0.3">
      <c r="A347" s="26">
        <v>343</v>
      </c>
      <c r="B347" s="32">
        <f>'APÊNDICE II-MEMÓRIA DE CÁLCULO'!B348</f>
        <v>16400</v>
      </c>
      <c r="C347" s="33">
        <f>'APÊNDICE II-MEMÓRIA DE CÁLCULO'!C348</f>
        <v>436498</v>
      </c>
      <c r="D347" s="34" t="str">
        <f>'APÊNDICE II-MEMÓRIA DE CÁLCULO'!D348</f>
        <v>ESFIGNOMANOMETRO DIGITAL INFANTIL- Aparelho De Medir Pressão De Braço Digital Elétrico. Referência: G-tech ou similar.</v>
      </c>
      <c r="E347" s="33" t="str">
        <f>'APÊNDICE II-MEMÓRIA DE CÁLCULO'!E348</f>
        <v>UNIDADE</v>
      </c>
      <c r="F347" s="35">
        <f>'APÊNDICE II-MEMÓRIA DE CÁLCULO'!L348</f>
        <v>10</v>
      </c>
      <c r="G347" s="119" t="s">
        <v>809</v>
      </c>
      <c r="H347" s="120">
        <v>1</v>
      </c>
      <c r="I347" s="121">
        <v>70.290000000000006</v>
      </c>
      <c r="J347" s="119" t="s">
        <v>810</v>
      </c>
      <c r="K347" s="120">
        <v>2</v>
      </c>
      <c r="L347" s="121">
        <v>77</v>
      </c>
      <c r="M347" s="32" t="s">
        <v>31</v>
      </c>
      <c r="N347" s="32" t="s">
        <v>31</v>
      </c>
      <c r="O347" s="32" t="s">
        <v>31</v>
      </c>
      <c r="P347" s="119" t="s">
        <v>356</v>
      </c>
      <c r="Q347" s="120">
        <v>1</v>
      </c>
      <c r="R347" s="121">
        <v>73.63</v>
      </c>
      <c r="S347" s="119" t="s">
        <v>344</v>
      </c>
      <c r="T347" s="120">
        <v>1</v>
      </c>
      <c r="U347" s="121">
        <v>98.91</v>
      </c>
      <c r="V347" s="37">
        <f t="shared" si="53"/>
        <v>11.196448934818498</v>
      </c>
      <c r="W347" s="58">
        <f t="shared" si="53"/>
        <v>0.14003000262412527</v>
      </c>
      <c r="X347" s="23">
        <f>ROUND(SUM(I347*H347,L347*K347,R347*Q347,U347*T347,)/SUM(H347,K347,Q347,T347,),2)</f>
        <v>79.37</v>
      </c>
      <c r="Y347" s="38">
        <f t="shared" si="54"/>
        <v>793.7</v>
      </c>
      <c r="Z347" s="6">
        <f t="shared" si="55"/>
        <v>73.63</v>
      </c>
      <c r="AA347" s="5">
        <f t="shared" si="56"/>
        <v>79.95750000000001</v>
      </c>
      <c r="AB347" s="8">
        <f t="shared" si="57"/>
        <v>11.196448934818498</v>
      </c>
      <c r="AC347" s="7">
        <f t="shared" si="58"/>
        <v>0.14003000262412527</v>
      </c>
    </row>
    <row r="348" spans="1:29" ht="111" customHeight="1" x14ac:dyDescent="0.3">
      <c r="A348" s="26">
        <v>344</v>
      </c>
      <c r="B348" s="32">
        <f>'APÊNDICE II-MEMÓRIA DE CÁLCULO'!B349</f>
        <v>16403</v>
      </c>
      <c r="C348" s="33" t="str">
        <f>'APÊNDICE II-MEMÓRIA DE CÁLCULO'!C349</f>
        <v>-</v>
      </c>
      <c r="D348" s="34" t="str">
        <f>'APÊNDICE II-MEMÓRIA DE CÁLCULO'!D349</f>
        <v>Suporte com Base para Cilindro, material: aço, especificações:Suporte com Base para Cilindro, material: aço, 7 a 10 litros. Especificações adicionais: Medida aproximada da circunferência para encaixe do cilindro: 17cm, Medidas aproximadas da base: 22cm x 30cm,Medidas aproximadas do produto: 40cm (A) x 34cm (L) x 38cm (C), Peso aproximado: 3,040 Kg.</v>
      </c>
      <c r="E348" s="33" t="str">
        <f>'APÊNDICE II-MEMÓRIA DE CÁLCULO'!E349</f>
        <v>UNIDADE</v>
      </c>
      <c r="F348" s="35">
        <f>'APÊNDICE II-MEMÓRIA DE CÁLCULO'!L349</f>
        <v>15</v>
      </c>
      <c r="G348" s="119" t="s">
        <v>809</v>
      </c>
      <c r="H348" s="120">
        <v>1</v>
      </c>
      <c r="I348" s="121">
        <v>357.51</v>
      </c>
      <c r="J348" s="26" t="s">
        <v>31</v>
      </c>
      <c r="K348" s="32" t="s">
        <v>31</v>
      </c>
      <c r="L348" s="116" t="s">
        <v>31</v>
      </c>
      <c r="M348" s="32" t="s">
        <v>31</v>
      </c>
      <c r="N348" s="32" t="s">
        <v>31</v>
      </c>
      <c r="O348" s="32" t="s">
        <v>31</v>
      </c>
      <c r="P348" s="119" t="s">
        <v>910</v>
      </c>
      <c r="Q348" s="120">
        <v>1</v>
      </c>
      <c r="R348" s="121">
        <v>237</v>
      </c>
      <c r="S348" s="119" t="s">
        <v>911</v>
      </c>
      <c r="T348" s="120">
        <v>1</v>
      </c>
      <c r="U348" s="121">
        <v>309</v>
      </c>
      <c r="V348" s="37">
        <f t="shared" si="53"/>
        <v>49.508562895725305</v>
      </c>
      <c r="W348" s="58">
        <f t="shared" si="53"/>
        <v>0.16438743200094733</v>
      </c>
      <c r="X348" s="23">
        <f>ROUND(SUM(I348*H348,R348*Q348,U348*T348,)/SUM(H348,Q348,T348,),2)</f>
        <v>301.17</v>
      </c>
      <c r="Y348" s="38">
        <f t="shared" si="54"/>
        <v>4517.55</v>
      </c>
      <c r="Z348" s="6">
        <f t="shared" si="55"/>
        <v>273</v>
      </c>
      <c r="AA348" s="5">
        <f t="shared" si="56"/>
        <v>301.17</v>
      </c>
      <c r="AB348" s="8">
        <f t="shared" si="57"/>
        <v>49.508562895725305</v>
      </c>
      <c r="AC348" s="7">
        <f t="shared" si="58"/>
        <v>0.16438743200094733</v>
      </c>
    </row>
    <row r="349" spans="1:29" ht="111" customHeight="1" x14ac:dyDescent="0.3">
      <c r="A349" s="26">
        <v>345</v>
      </c>
      <c r="B349" s="32">
        <f>'APÊNDICE II-MEMÓRIA DE CÁLCULO'!B350</f>
        <v>16404</v>
      </c>
      <c r="C349" s="33" t="str">
        <f>'APÊNDICE II-MEMÓRIA DE CÁLCULO'!C350</f>
        <v>-</v>
      </c>
      <c r="D349" s="34" t="str">
        <f>'APÊNDICE II-MEMÓRIA DE CÁLCULO'!D350</f>
        <v xml:space="preserve">kit mascara lanringea, material: cloreto de polivinila (PVC), descartável, especificações: kit mascara lanringea, material: cloreto de polivinila (PVC), descartável, tamanhos 1 - 1,5 - 2 - 2,5 - 3 - 4 - 5. </v>
      </c>
      <c r="E349" s="33" t="str">
        <f>'APÊNDICE II-MEMÓRIA DE CÁLCULO'!E350</f>
        <v xml:space="preserve">KIT </v>
      </c>
      <c r="F349" s="35">
        <f>'APÊNDICE II-MEMÓRIA DE CÁLCULO'!L350</f>
        <v>15</v>
      </c>
      <c r="G349" s="119" t="s">
        <v>809</v>
      </c>
      <c r="H349" s="120">
        <v>1</v>
      </c>
      <c r="I349" s="121">
        <v>371.96</v>
      </c>
      <c r="J349" s="26" t="s">
        <v>31</v>
      </c>
      <c r="K349" s="32" t="s">
        <v>31</v>
      </c>
      <c r="L349" s="116" t="s">
        <v>31</v>
      </c>
      <c r="M349" s="32" t="s">
        <v>31</v>
      </c>
      <c r="N349" s="32" t="s">
        <v>31</v>
      </c>
      <c r="O349" s="32" t="s">
        <v>31</v>
      </c>
      <c r="P349" s="119" t="s">
        <v>700</v>
      </c>
      <c r="Q349" s="120">
        <v>1</v>
      </c>
      <c r="R349" s="121">
        <v>404.3</v>
      </c>
      <c r="S349" s="119" t="s">
        <v>914</v>
      </c>
      <c r="T349" s="120">
        <v>1</v>
      </c>
      <c r="U349" s="121">
        <v>364.37</v>
      </c>
      <c r="V349" s="37">
        <f t="shared" si="53"/>
        <v>17.313734432524956</v>
      </c>
      <c r="W349" s="58">
        <f t="shared" si="53"/>
        <v>4.5537293686449473E-2</v>
      </c>
      <c r="X349" s="23">
        <f>ROUND(SUM(I349*H349,R349*Q349,U349*T349,)/SUM(H349,Q349,T349,),2)</f>
        <v>380.21</v>
      </c>
      <c r="Y349" s="38">
        <f t="shared" si="54"/>
        <v>5703.15</v>
      </c>
      <c r="Z349" s="6">
        <f t="shared" si="55"/>
        <v>368.16499999999996</v>
      </c>
      <c r="AA349" s="5">
        <f t="shared" si="56"/>
        <v>380.21000000000004</v>
      </c>
      <c r="AB349" s="8">
        <f t="shared" si="57"/>
        <v>17.313734432524956</v>
      </c>
      <c r="AC349" s="7">
        <f t="shared" si="58"/>
        <v>4.5537293686449473E-2</v>
      </c>
    </row>
    <row r="350" spans="1:29" ht="111" customHeight="1" x14ac:dyDescent="0.3">
      <c r="A350" s="26">
        <v>346</v>
      </c>
      <c r="B350" s="32">
        <f>'APÊNDICE II-MEMÓRIA DE CÁLCULO'!B351</f>
        <v>16405</v>
      </c>
      <c r="C350" s="33" t="str">
        <f>'APÊNDICE II-MEMÓRIA DE CÁLCULO'!C351</f>
        <v>-</v>
      </c>
      <c r="D350" s="34" t="str">
        <f>'APÊNDICE II-MEMÓRIA DE CÁLCULO'!D351</f>
        <v xml:space="preserve">Kit laringoscópio, material: com cabo metálico antiderrapante  e lâminas em aço inoxidável com acabamento fosco, especificações: Kit laringoscópio, material: com cabo metálico antiderrapante  e lâminas em aço inoxidável com acabamento fosco, com 5 lâminas: 4 lâminas curvas Macintosh nº 1, 2, 3, 4
e 1 lâmina reta Miller nº0. </v>
      </c>
      <c r="E350" s="33" t="str">
        <f>'APÊNDICE II-MEMÓRIA DE CÁLCULO'!E351</f>
        <v>KIT</v>
      </c>
      <c r="F350" s="35">
        <f>'APÊNDICE II-MEMÓRIA DE CÁLCULO'!L351</f>
        <v>10</v>
      </c>
      <c r="G350" s="119" t="s">
        <v>809</v>
      </c>
      <c r="H350" s="120">
        <v>1</v>
      </c>
      <c r="I350" s="121">
        <v>2350</v>
      </c>
      <c r="J350" s="26" t="s">
        <v>31</v>
      </c>
      <c r="K350" s="32" t="s">
        <v>31</v>
      </c>
      <c r="L350" s="116" t="s">
        <v>31</v>
      </c>
      <c r="M350" s="32" t="s">
        <v>31</v>
      </c>
      <c r="N350" s="32" t="s">
        <v>31</v>
      </c>
      <c r="O350" s="32" t="s">
        <v>31</v>
      </c>
      <c r="P350" s="119" t="s">
        <v>912</v>
      </c>
      <c r="Q350" s="120">
        <v>1</v>
      </c>
      <c r="R350" s="121">
        <v>1909</v>
      </c>
      <c r="S350" s="119" t="s">
        <v>894</v>
      </c>
      <c r="T350" s="120">
        <v>1</v>
      </c>
      <c r="U350" s="121">
        <v>1291.4000000000001</v>
      </c>
      <c r="V350" s="37">
        <f t="shared" si="53"/>
        <v>434.17158922353451</v>
      </c>
      <c r="W350" s="58">
        <f t="shared" si="53"/>
        <v>0.23467043234192195</v>
      </c>
      <c r="X350" s="23">
        <f>ROUND(SUM(I350*H350,R350*Q350,U350*T350,)/SUM(H350,Q350,T350,),2)</f>
        <v>1850.13</v>
      </c>
      <c r="Y350" s="38">
        <f t="shared" si="54"/>
        <v>18501.300000000003</v>
      </c>
      <c r="Z350" s="6">
        <f t="shared" si="55"/>
        <v>1600.2</v>
      </c>
      <c r="AA350" s="5">
        <f t="shared" si="56"/>
        <v>1850.1333333333332</v>
      </c>
      <c r="AB350" s="8">
        <f t="shared" si="57"/>
        <v>434.17158922353451</v>
      </c>
      <c r="AC350" s="7">
        <f t="shared" si="58"/>
        <v>0.23467043234192195</v>
      </c>
    </row>
    <row r="351" spans="1:29" ht="24.75" customHeight="1" x14ac:dyDescent="0.3">
      <c r="A351" s="177" t="s">
        <v>32</v>
      </c>
      <c r="B351" s="177"/>
      <c r="C351" s="177"/>
      <c r="D351" s="177"/>
      <c r="E351" s="177"/>
      <c r="F351" s="177"/>
      <c r="G351" s="177"/>
      <c r="H351" s="177"/>
      <c r="I351" s="177"/>
      <c r="J351" s="177"/>
      <c r="K351" s="177"/>
      <c r="L351" s="177"/>
      <c r="M351" s="177"/>
      <c r="N351" s="177"/>
      <c r="O351" s="177"/>
      <c r="P351" s="177"/>
      <c r="Q351" s="177"/>
      <c r="R351" s="177"/>
      <c r="S351" s="177"/>
      <c r="T351" s="177"/>
      <c r="U351" s="177"/>
      <c r="V351" s="176">
        <f>SUM(Y5:Y350)</f>
        <v>2457258.5999999992</v>
      </c>
      <c r="W351" s="176"/>
      <c r="X351" s="176"/>
      <c r="Y351" s="176"/>
      <c r="Z351" s="6">
        <f t="shared" ref="Z351" si="61">MEDIAN(L351,I351,O351,R351,U351,)</f>
        <v>0</v>
      </c>
      <c r="AA351" s="5" t="e">
        <f t="shared" ref="AA351" si="62">AVERAGE(I351,O351,R351,U351,L351)</f>
        <v>#DIV/0!</v>
      </c>
      <c r="AB351" s="8" t="e">
        <f t="shared" ref="AB351" si="63">_xlfn.STDEV.P(I351,O351,R351,U351,L351)</f>
        <v>#DIV/0!</v>
      </c>
      <c r="AC351" s="7" t="e">
        <f t="shared" ref="AC351" si="64">AB351/AA351</f>
        <v>#DIV/0!</v>
      </c>
    </row>
    <row r="352" spans="1:29" x14ac:dyDescent="0.3">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row>
    <row r="353" spans="1:28" ht="34.5" customHeight="1" x14ac:dyDescent="0.3">
      <c r="A353" s="173" t="s">
        <v>37</v>
      </c>
      <c r="B353" s="173"/>
      <c r="C353" s="175" t="s">
        <v>38</v>
      </c>
      <c r="D353" s="175"/>
      <c r="E353" s="175"/>
      <c r="F353" s="175"/>
      <c r="G353" s="175"/>
      <c r="H353" s="175"/>
      <c r="I353" s="175"/>
      <c r="J353" s="175"/>
      <c r="K353" s="175"/>
      <c r="L353" s="175"/>
      <c r="M353" s="175"/>
      <c r="N353" s="175"/>
      <c r="O353" s="175"/>
      <c r="W353" s="59"/>
      <c r="X353" s="39"/>
      <c r="Y353" s="17"/>
      <c r="Z353" s="3"/>
      <c r="AA353" s="3"/>
      <c r="AB353" s="3"/>
    </row>
    <row r="354" spans="1:28" x14ac:dyDescent="0.3">
      <c r="A354" s="4"/>
      <c r="B354" s="3"/>
      <c r="C354" s="3"/>
      <c r="D354" s="3"/>
      <c r="E354" s="15"/>
      <c r="F354" s="3"/>
      <c r="J354" s="114"/>
      <c r="W354" s="60"/>
      <c r="Y354" s="20"/>
      <c r="Z354" s="19"/>
      <c r="AA354" s="19"/>
      <c r="AB354" s="19"/>
    </row>
    <row r="355" spans="1:28" x14ac:dyDescent="0.3">
      <c r="W355" s="60"/>
      <c r="Y355" s="20"/>
      <c r="Z355" s="19"/>
      <c r="AA355" s="19"/>
      <c r="AB355" s="19"/>
    </row>
    <row r="356" spans="1:28" x14ac:dyDescent="0.3">
      <c r="W356" s="60"/>
      <c r="Y356" s="20"/>
      <c r="Z356" s="19"/>
      <c r="AA356" s="19"/>
      <c r="AB356" s="19"/>
    </row>
    <row r="357" spans="1:28" x14ac:dyDescent="0.3">
      <c r="W357" s="60"/>
      <c r="Y357" s="20"/>
      <c r="Z357" s="19"/>
      <c r="AA357" s="19"/>
      <c r="AB357" s="19"/>
    </row>
    <row r="358" spans="1:28" x14ac:dyDescent="0.3">
      <c r="W358" s="60"/>
      <c r="Y358" s="20"/>
      <c r="Z358" s="19"/>
      <c r="AA358" s="19"/>
      <c r="AB358" s="19"/>
    </row>
    <row r="359" spans="1:28" ht="14.45" customHeight="1" x14ac:dyDescent="0.3">
      <c r="W359" s="61"/>
    </row>
    <row r="361" spans="1:28" ht="14.45" customHeight="1" x14ac:dyDescent="0.3">
      <c r="W361" s="62"/>
    </row>
  </sheetData>
  <mergeCells count="7">
    <mergeCell ref="A3:Y3"/>
    <mergeCell ref="A2:Y2"/>
    <mergeCell ref="A353:B353"/>
    <mergeCell ref="A352:Y352"/>
    <mergeCell ref="C353:O353"/>
    <mergeCell ref="V351:Y351"/>
    <mergeCell ref="A351:U351"/>
  </mergeCells>
  <phoneticPr fontId="23" type="noConversion"/>
  <printOptions horizontalCentered="1"/>
  <pageMargins left="0.51181102362204722" right="0.51181102362204722" top="0.78740157480314965" bottom="0.78740157480314965" header="0.31496062992125984" footer="0.31496062992125984"/>
  <pageSetup paperSize="9" scale="48" orientation="landscape" r:id="rId1"/>
  <drawing r:id="rId2"/>
  <legacyDrawing r:id="rId3"/>
  <oleObjects>
    <mc:AlternateContent xmlns:mc="http://schemas.openxmlformats.org/markup-compatibility/2006">
      <mc:Choice Requires="x14">
        <oleObject progId="CorelDraw.Graphic.17" shapeId="9217" r:id="rId4">
          <objectPr defaultSize="0" autoPict="0" r:id="rId5">
            <anchor moveWithCells="1" sizeWithCells="1">
              <from>
                <xdr:col>8</xdr:col>
                <xdr:colOff>447675</xdr:colOff>
                <xdr:row>0</xdr:row>
                <xdr:rowOff>0</xdr:rowOff>
              </from>
              <to>
                <xdr:col>15</xdr:col>
                <xdr:colOff>104775</xdr:colOff>
                <xdr:row>1</xdr:row>
                <xdr:rowOff>0</xdr:rowOff>
              </to>
            </anchor>
          </objectPr>
        </oleObject>
      </mc:Choice>
      <mc:Fallback>
        <oleObject progId="CorelDraw.Graphic.17"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APÊNDICE I - ESPECIF. E QUANT.</vt:lpstr>
      <vt:lpstr>APÊNDICE II-MEMÓRIA DE CÁLCULO</vt:lpstr>
      <vt:lpstr>APÊNDICE III - MAPA DE PREÇOS</vt:lpstr>
      <vt:lpstr>'APÊNDICE III - MAPA DE PREÇOS'!Area_de_impressao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teste toritama</cp:lastModifiedBy>
  <cp:revision/>
  <cp:lastPrinted>2024-11-11T17:52:28Z</cp:lastPrinted>
  <dcterms:created xsi:type="dcterms:W3CDTF">2021-02-19T14:30:57Z</dcterms:created>
  <dcterms:modified xsi:type="dcterms:W3CDTF">2024-11-25T12:15:19Z</dcterms:modified>
  <cp:category/>
  <cp:contentStatus/>
</cp:coreProperties>
</file>