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05" yWindow="-105" windowWidth="20730" windowHeight="11760" firstSheet="4" activeTab="7"/>
  </bookViews>
  <sheets>
    <sheet name="ANEXO-1_CÁLCULOS - PVC" sheetId="2" r:id="rId1"/>
    <sheet name="ANEXO-2_BDI-DESONERADO-N" sheetId="6" r:id="rId2"/>
    <sheet name="ANEXO-3_COMPOSIÇÕES" sheetId="20" r:id="rId3"/>
    <sheet name="ANEXO-4_PESQ. PREÇOS (PVC)" sheetId="18" r:id="rId4"/>
    <sheet name="ANEXO-5_ORÇAMENTO" sheetId="19" r:id="rId5"/>
    <sheet name="ANEXO-6_CRONOGRAMA" sheetId="22" r:id="rId6"/>
    <sheet name="ANEXO-7_ENC. SOCIAIS" sheetId="14" r:id="rId7"/>
    <sheet name="ANEXO-8_ITENS DE RELEVÂNCIA" sheetId="23" r:id="rId8"/>
  </sheets>
  <externalReferences>
    <externalReference r:id="rId9"/>
    <externalReference r:id="rId10"/>
    <externalReference r:id="rId11"/>
  </externalReferences>
  <definedNames>
    <definedName name="_xlnm.Print_Area" localSheetId="0">'ANEXO-1_CÁLCULOS - PVC'!$A$1:$K$943</definedName>
    <definedName name="_xlnm.Print_Area" localSheetId="1">'ANEXO-2_BDI-DESONERADO-N'!$J$6:$S$139</definedName>
    <definedName name="_xlnm.Print_Area" localSheetId="2">'ANEXO-3_COMPOSIÇÕES'!$A$1:$H$246</definedName>
    <definedName name="_xlnm.Print_Area" localSheetId="3">'ANEXO-4_PESQ. PREÇOS (PVC)'!$A$1:$J$20</definedName>
    <definedName name="_xlnm.Print_Area" localSheetId="4">'ANEXO-5_ORÇAMENTO'!$A$1:$I$211</definedName>
    <definedName name="_xlnm.Print_Area" localSheetId="5">'ANEXO-6_CRONOGRAMA'!$A$1:$L$212</definedName>
    <definedName name="_xlnm.Print_Area" localSheetId="6">'ANEXO-7_ENC. SOCIAIS'!$A$1:$K$53</definedName>
    <definedName name="_xlnm.Print_Area" localSheetId="7">'ANEXO-8_ITENS DE RELEVÂNCIA'!$A$1:$G$34</definedName>
    <definedName name="BDI.Opcao" hidden="1">[1]DADOS!$F$18</definedName>
    <definedName name="BDI.TipoObra" hidden="1">[2]BDI!$A$138:$A$146</definedName>
    <definedName name="DESONERACAO" hidden="1">IF(OR(Import.Desoneracao="DESONERADO",Import.Desoneracao="SIM"),"SIM","NÃO")</definedName>
    <definedName name="DESONERADODIF" hidden="1">IF(OR(I="DESONERADO",I="SIM"),"SIM","NÃO")</definedName>
    <definedName name="E" hidden="1">[3]BDI!$A$138:$A$146</definedName>
    <definedName name="I" hidden="1">OFFSET([3]DADOS!$G$18,0,-1)</definedName>
    <definedName name="Import.Apelido" hidden="1">[2]DADOS!$F$16</definedName>
    <definedName name="Import.CR" hidden="1">[2]DADOS!$F$7</definedName>
    <definedName name="Import.DescLote" hidden="1">[2]DADOS!$F$17</definedName>
    <definedName name="Import.Desoneracao" hidden="1">OFFSET([2]DADOS!$G$18,0,-1)</definedName>
    <definedName name="Import.Município" hidden="1">[2]DADOS!$F$6</definedName>
    <definedName name="Import.Proponente" hidden="1">[2]DADOS!$F$5</definedName>
    <definedName name="Import.RespOrçamento" hidden="1">[2]DADOS!$F$22:$F$24</definedName>
    <definedName name="Import.SICONV" hidden="1">[2]DADOS!$F$8</definedName>
    <definedName name="_xlnm.Print_Titles" localSheetId="0">'ANEXO-1_CÁLCULOS - PVC'!$1:$9</definedName>
    <definedName name="_xlnm.Print_Titles" localSheetId="4">'ANEXO-5_ORÇAMENTO'!$1:$9</definedName>
    <definedName name="_xlnm.Print_Titles" localSheetId="5">'ANEXO-6_CRONOGRAMA'!$1:$9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3"/>
  <c r="E22"/>
  <c r="E20"/>
  <c r="K10"/>
  <c r="E14"/>
  <c r="D14"/>
  <c r="E13"/>
  <c r="D13"/>
  <c r="E11"/>
  <c r="D11"/>
  <c r="B14"/>
  <c r="B13"/>
  <c r="B11"/>
  <c r="K231" i="2" l="1"/>
  <c r="G230"/>
  <c r="K230" s="1"/>
  <c r="K307"/>
  <c r="K306"/>
  <c r="K305" l="1"/>
  <c r="K32"/>
  <c r="K20"/>
  <c r="K17"/>
  <c r="K15"/>
  <c r="G62" l="1"/>
  <c r="K62" s="1"/>
  <c r="G61"/>
  <c r="K61" s="1"/>
  <c r="G60"/>
  <c r="K60" s="1"/>
  <c r="G59"/>
  <c r="K59" s="1"/>
  <c r="K58"/>
  <c r="K712"/>
  <c r="K713"/>
  <c r="K714"/>
  <c r="K715"/>
  <c r="K711"/>
  <c r="K937"/>
  <c r="K935"/>
  <c r="K934" s="1"/>
  <c r="M935" a="1"/>
  <c r="M935" s="1"/>
  <c r="G932"/>
  <c r="K932" s="1"/>
  <c r="K931" s="1"/>
  <c r="G929"/>
  <c r="K825"/>
  <c r="K750"/>
  <c r="K749"/>
  <c r="K748"/>
  <c r="K733"/>
  <c r="K728"/>
  <c r="K373"/>
  <c r="K374"/>
  <c r="K375"/>
  <c r="K376"/>
  <c r="K377"/>
  <c r="K378"/>
  <c r="K379"/>
  <c r="K380"/>
  <c r="K381"/>
  <c r="K382"/>
  <c r="K359"/>
  <c r="K360"/>
  <c r="K361"/>
  <c r="K362"/>
  <c r="K363"/>
  <c r="K364"/>
  <c r="K365"/>
  <c r="K366"/>
  <c r="K367"/>
  <c r="K358"/>
  <c r="K355"/>
  <c r="K354"/>
  <c r="K353"/>
  <c r="K352"/>
  <c r="K351"/>
  <c r="K350"/>
  <c r="K349"/>
  <c r="K348"/>
  <c r="K347"/>
  <c r="K346"/>
  <c r="K345"/>
  <c r="K344"/>
  <c r="K331"/>
  <c r="K332"/>
  <c r="K333"/>
  <c r="K334"/>
  <c r="K335"/>
  <c r="K336"/>
  <c r="K337"/>
  <c r="K338"/>
  <c r="K339"/>
  <c r="K340"/>
  <c r="K341"/>
  <c r="K385"/>
  <c r="K386"/>
  <c r="K555"/>
  <c r="K554"/>
  <c r="K553"/>
  <c r="K552"/>
  <c r="K551"/>
  <c r="K550"/>
  <c r="K549"/>
  <c r="K548"/>
  <c r="K538"/>
  <c r="K539"/>
  <c r="K540"/>
  <c r="K541"/>
  <c r="K542"/>
  <c r="K543"/>
  <c r="K544"/>
  <c r="K533"/>
  <c r="K725" s="1"/>
  <c r="K529"/>
  <c r="K528"/>
  <c r="K527"/>
  <c r="K523"/>
  <c r="K522"/>
  <c r="K521"/>
  <c r="G704"/>
  <c r="K718"/>
  <c r="K717" s="1"/>
  <c r="K330"/>
  <c r="K323"/>
  <c r="K322"/>
  <c r="K321"/>
  <c r="K320"/>
  <c r="K315"/>
  <c r="K316"/>
  <c r="K317"/>
  <c r="K314"/>
  <c r="K261"/>
  <c r="K260"/>
  <c r="K258"/>
  <c r="K240"/>
  <c r="K194"/>
  <c r="K192"/>
  <c r="K190"/>
  <c r="K171"/>
  <c r="K144"/>
  <c r="K143"/>
  <c r="K142"/>
  <c r="K140"/>
  <c r="K139"/>
  <c r="K138"/>
  <c r="K137"/>
  <c r="K134"/>
  <c r="K133"/>
  <c r="K132"/>
  <c r="K131"/>
  <c r="K130"/>
  <c r="K128"/>
  <c r="K127"/>
  <c r="K126"/>
  <c r="K124"/>
  <c r="K123"/>
  <c r="K122"/>
  <c r="K121"/>
  <c r="K120"/>
  <c r="K119"/>
  <c r="K117"/>
  <c r="K116"/>
  <c r="K115"/>
  <c r="K114"/>
  <c r="K113"/>
  <c r="K110"/>
  <c r="K109"/>
  <c r="K108"/>
  <c r="K107"/>
  <c r="K106"/>
  <c r="K105"/>
  <c r="K103"/>
  <c r="K102"/>
  <c r="K101"/>
  <c r="K100"/>
  <c r="K99"/>
  <c r="K94"/>
  <c r="K93"/>
  <c r="K92"/>
  <c r="K91"/>
  <c r="K90"/>
  <c r="K88"/>
  <c r="K87"/>
  <c r="K86"/>
  <c r="K85"/>
  <c r="K84"/>
  <c r="K97"/>
  <c r="K96"/>
  <c r="K81"/>
  <c r="K80"/>
  <c r="K79"/>
  <c r="K78"/>
  <c r="K76"/>
  <c r="K75"/>
  <c r="K73"/>
  <c r="K72"/>
  <c r="K71"/>
  <c r="K70"/>
  <c r="K68"/>
  <c r="K67"/>
  <c r="K39"/>
  <c r="K790"/>
  <c r="K787"/>
  <c r="K784"/>
  <c r="K764"/>
  <c r="K800"/>
  <c r="K165"/>
  <c r="K35"/>
  <c r="K14"/>
  <c r="K681"/>
  <c r="K680"/>
  <c r="K679"/>
  <c r="K678"/>
  <c r="K677"/>
  <c r="K676"/>
  <c r="K675"/>
  <c r="K673"/>
  <c r="K672"/>
  <c r="K671"/>
  <c r="K670"/>
  <c r="K668"/>
  <c r="K667"/>
  <c r="K666"/>
  <c r="G665"/>
  <c r="F665"/>
  <c r="G664"/>
  <c r="F664"/>
  <c r="G663"/>
  <c r="F663"/>
  <c r="G662"/>
  <c r="F662"/>
  <c r="G661"/>
  <c r="F661"/>
  <c r="G660"/>
  <c r="F660"/>
  <c r="K659"/>
  <c r="K658"/>
  <c r="K656"/>
  <c r="K655"/>
  <c r="G654"/>
  <c r="F654"/>
  <c r="G652"/>
  <c r="F652"/>
  <c r="K651"/>
  <c r="K650"/>
  <c r="K649"/>
  <c r="K648"/>
  <c r="K647"/>
  <c r="G646"/>
  <c r="F646"/>
  <c r="K645"/>
  <c r="G644"/>
  <c r="F644"/>
  <c r="K643"/>
  <c r="K642"/>
  <c r="K641"/>
  <c r="K640"/>
  <c r="K639"/>
  <c r="G638"/>
  <c r="F638"/>
  <c r="K637"/>
  <c r="G636"/>
  <c r="F636"/>
  <c r="K635"/>
  <c r="K634"/>
  <c r="K633"/>
  <c r="K632"/>
  <c r="K631"/>
  <c r="G630"/>
  <c r="F630"/>
  <c r="K629"/>
  <c r="G628"/>
  <c r="F628"/>
  <c r="K627"/>
  <c r="K626"/>
  <c r="G625"/>
  <c r="F625"/>
  <c r="K57" l="1"/>
  <c r="E47" s="1"/>
  <c r="K372"/>
  <c r="K357"/>
  <c r="K343"/>
  <c r="K525"/>
  <c r="K723" s="1"/>
  <c r="K519"/>
  <c r="K329"/>
  <c r="K740" s="1"/>
  <c r="K747" s="1"/>
  <c r="K319"/>
  <c r="K313"/>
  <c r="K65"/>
  <c r="K135"/>
  <c r="K111"/>
  <c r="K82"/>
  <c r="K644"/>
  <c r="K663"/>
  <c r="K654"/>
  <c r="K661"/>
  <c r="K630"/>
  <c r="K636"/>
  <c r="K660"/>
  <c r="K628"/>
  <c r="K638"/>
  <c r="K665"/>
  <c r="K625"/>
  <c r="K662"/>
  <c r="K646"/>
  <c r="K616"/>
  <c r="K615"/>
  <c r="K614"/>
  <c r="K613"/>
  <c r="K612"/>
  <c r="K611"/>
  <c r="K610"/>
  <c r="K608"/>
  <c r="K607"/>
  <c r="K606"/>
  <c r="K605"/>
  <c r="K603"/>
  <c r="K602"/>
  <c r="K601"/>
  <c r="G600"/>
  <c r="F600"/>
  <c r="G599"/>
  <c r="F599"/>
  <c r="G598"/>
  <c r="F598"/>
  <c r="G597"/>
  <c r="F597"/>
  <c r="G596"/>
  <c r="F596"/>
  <c r="G595"/>
  <c r="F595"/>
  <c r="G589"/>
  <c r="F589"/>
  <c r="G587"/>
  <c r="F587"/>
  <c r="G581"/>
  <c r="F581"/>
  <c r="G579"/>
  <c r="F579"/>
  <c r="G573"/>
  <c r="F573"/>
  <c r="G571"/>
  <c r="F571"/>
  <c r="G565"/>
  <c r="F565"/>
  <c r="G563"/>
  <c r="F563"/>
  <c r="G560"/>
  <c r="F560"/>
  <c r="K545"/>
  <c r="K537" s="1"/>
  <c r="K734" s="1"/>
  <c r="K532"/>
  <c r="K453"/>
  <c r="K454"/>
  <c r="K455"/>
  <c r="K456"/>
  <c r="K457"/>
  <c r="K458"/>
  <c r="K459"/>
  <c r="K460"/>
  <c r="K461"/>
  <c r="K462"/>
  <c r="K463"/>
  <c r="K464"/>
  <c r="K465"/>
  <c r="K466"/>
  <c r="K467"/>
  <c r="K501"/>
  <c r="K502"/>
  <c r="K503"/>
  <c r="K504"/>
  <c r="K505"/>
  <c r="K506"/>
  <c r="K507"/>
  <c r="K508"/>
  <c r="K509"/>
  <c r="K510"/>
  <c r="K511"/>
  <c r="K512"/>
  <c r="K513"/>
  <c r="K218"/>
  <c r="K822"/>
  <c r="K444"/>
  <c r="K429"/>
  <c r="G425"/>
  <c r="F425"/>
  <c r="F424"/>
  <c r="G426"/>
  <c r="F426"/>
  <c r="G422"/>
  <c r="G423"/>
  <c r="G424"/>
  <c r="F422"/>
  <c r="F423"/>
  <c r="G421"/>
  <c r="F421"/>
  <c r="K406"/>
  <c r="K408"/>
  <c r="K409"/>
  <c r="K410"/>
  <c r="K411"/>
  <c r="K412"/>
  <c r="K414"/>
  <c r="K416"/>
  <c r="K417"/>
  <c r="K418"/>
  <c r="K419"/>
  <c r="K420"/>
  <c r="G415"/>
  <c r="F415"/>
  <c r="G413"/>
  <c r="F413"/>
  <c r="G407"/>
  <c r="F407"/>
  <c r="G405"/>
  <c r="F405"/>
  <c r="G399"/>
  <c r="F399"/>
  <c r="G397"/>
  <c r="F397"/>
  <c r="F391"/>
  <c r="G389"/>
  <c r="F389"/>
  <c r="K531" l="1"/>
  <c r="K64"/>
  <c r="K624"/>
  <c r="K547"/>
  <c r="K744" s="1"/>
  <c r="K751" s="1"/>
  <c r="K452"/>
  <c r="K426"/>
  <c r="K407"/>
  <c r="K415"/>
  <c r="K413"/>
  <c r="K423"/>
  <c r="K422"/>
  <c r="K421"/>
  <c r="K405"/>
  <c r="K424"/>
  <c r="K425"/>
  <c r="K929"/>
  <c r="K916"/>
  <c r="K535" l="1"/>
  <c r="K928"/>
  <c r="K908"/>
  <c r="K909"/>
  <c r="K907" l="1"/>
  <c r="G23" i="23"/>
  <c r="B23"/>
  <c r="B31" s="1"/>
  <c r="D22"/>
  <c r="G22" s="1"/>
  <c r="B22"/>
  <c r="B30" s="1"/>
  <c r="D21"/>
  <c r="G21" s="1"/>
  <c r="B21"/>
  <c r="B29" s="1"/>
  <c r="L10"/>
  <c r="D20"/>
  <c r="B20"/>
  <c r="B28" s="1"/>
  <c r="G20" l="1"/>
  <c r="F20"/>
  <c r="F14"/>
  <c r="F13"/>
  <c r="F12"/>
  <c r="F11"/>
  <c r="G11" s="1"/>
  <c r="G12" l="1"/>
  <c r="G13" s="1"/>
  <c r="G14" s="1"/>
  <c r="F21"/>
  <c r="F22"/>
  <c r="K254" i="2" l="1"/>
  <c r="K253"/>
  <c r="K251"/>
  <c r="K226"/>
  <c r="J15" i="18"/>
  <c r="K926" i="2"/>
  <c r="K925" s="1"/>
  <c r="K448"/>
  <c r="K447" s="1"/>
  <c r="K256" l="1"/>
  <c r="K249"/>
  <c r="K761"/>
  <c r="K760" s="1"/>
  <c r="K743"/>
  <c r="K742"/>
  <c r="K741"/>
  <c r="K739" l="1"/>
  <c r="K731"/>
  <c r="K700" l="1"/>
  <c r="K273"/>
  <c r="K229"/>
  <c r="K228" s="1"/>
  <c r="K234"/>
  <c r="K238"/>
  <c r="K237"/>
  <c r="K150"/>
  <c r="K25"/>
  <c r="K26"/>
  <c r="K370"/>
  <c r="K369" s="1"/>
  <c r="K327"/>
  <c r="K326"/>
  <c r="K311"/>
  <c r="K310" s="1"/>
  <c r="K209"/>
  <c r="K208" s="1"/>
  <c r="K199"/>
  <c r="K198" s="1"/>
  <c r="K175"/>
  <c r="K233" l="1"/>
  <c r="K236"/>
  <c r="K149"/>
  <c r="K325"/>
  <c r="K834" l="1"/>
  <c r="K186" l="1"/>
  <c r="K184"/>
  <c r="K182"/>
  <c r="K162"/>
  <c r="K163"/>
  <c r="K159"/>
  <c r="K156"/>
  <c r="K155" s="1"/>
  <c r="K55"/>
  <c r="K51"/>
  <c r="K40"/>
  <c r="K178"/>
  <c r="K177" s="1"/>
  <c r="K38" l="1"/>
  <c r="E48" s="1"/>
  <c r="K50"/>
  <c r="K174"/>
  <c r="K188"/>
  <c r="K161"/>
  <c r="K158"/>
  <c r="K180"/>
  <c r="E46" s="1"/>
  <c r="K147" l="1"/>
  <c r="K146" s="1"/>
  <c r="K206" l="1"/>
  <c r="K205" s="1"/>
  <c r="K202"/>
  <c r="K201" s="1"/>
  <c r="G722" s="1"/>
  <c r="K779"/>
  <c r="K722" l="1"/>
  <c r="K727" s="1"/>
  <c r="K737" s="1"/>
  <c r="K736" s="1"/>
  <c r="K758" l="1"/>
  <c r="K755"/>
  <c r="K708"/>
  <c r="K697"/>
  <c r="K753" l="1"/>
  <c r="K694" l="1"/>
  <c r="K693"/>
  <c r="K561"/>
  <c r="K564"/>
  <c r="K566"/>
  <c r="K567"/>
  <c r="K568"/>
  <c r="K569"/>
  <c r="K570"/>
  <c r="K572"/>
  <c r="K574"/>
  <c r="K575"/>
  <c r="K576"/>
  <c r="K577"/>
  <c r="K578"/>
  <c r="K580"/>
  <c r="K582"/>
  <c r="K584"/>
  <c r="K586"/>
  <c r="K560"/>
  <c r="K600"/>
  <c r="K598"/>
  <c r="K597"/>
  <c r="K596"/>
  <c r="K595"/>
  <c r="K594"/>
  <c r="K593"/>
  <c r="K591"/>
  <c r="K590"/>
  <c r="K589"/>
  <c r="K472"/>
  <c r="K473"/>
  <c r="K474"/>
  <c r="K475"/>
  <c r="K476"/>
  <c r="K477"/>
  <c r="K478"/>
  <c r="K479"/>
  <c r="K480"/>
  <c r="K481"/>
  <c r="K482"/>
  <c r="K483"/>
  <c r="K484"/>
  <c r="K485"/>
  <c r="K486"/>
  <c r="K487"/>
  <c r="K488"/>
  <c r="K489"/>
  <c r="K490"/>
  <c r="K491"/>
  <c r="K492"/>
  <c r="K493"/>
  <c r="K494"/>
  <c r="K495"/>
  <c r="K496"/>
  <c r="K497"/>
  <c r="K498"/>
  <c r="K499"/>
  <c r="K500"/>
  <c r="K471"/>
  <c r="K565" l="1"/>
  <c r="K579"/>
  <c r="K571"/>
  <c r="K583"/>
  <c r="K573"/>
  <c r="K581"/>
  <c r="K562"/>
  <c r="K585"/>
  <c r="K563"/>
  <c r="K470"/>
  <c r="K436"/>
  <c r="K435"/>
  <c r="K434"/>
  <c r="G391"/>
  <c r="K430"/>
  <c r="K431"/>
  <c r="K433"/>
  <c r="K438"/>
  <c r="K439"/>
  <c r="K440"/>
  <c r="K441"/>
  <c r="K442"/>
  <c r="K443"/>
  <c r="K387"/>
  <c r="K390"/>
  <c r="K392"/>
  <c r="K393"/>
  <c r="K394"/>
  <c r="K395"/>
  <c r="K396"/>
  <c r="K398"/>
  <c r="K400"/>
  <c r="K401"/>
  <c r="K402"/>
  <c r="K403"/>
  <c r="K404"/>
  <c r="K559" l="1"/>
  <c r="K391"/>
  <c r="K388"/>
  <c r="K399"/>
  <c r="K397"/>
  <c r="K389"/>
  <c r="K428"/>
  <c r="K384" l="1"/>
  <c r="K289"/>
  <c r="K290"/>
  <c r="K291"/>
  <c r="K292"/>
  <c r="K282"/>
  <c r="K283"/>
  <c r="K284"/>
  <c r="K285"/>
  <c r="K286"/>
  <c r="K276"/>
  <c r="K277"/>
  <c r="K278"/>
  <c r="K271"/>
  <c r="K272"/>
  <c r="K265"/>
  <c r="K288" l="1"/>
  <c r="K281"/>
  <c r="K275"/>
  <c r="K225"/>
  <c r="K223"/>
  <c r="K215"/>
  <c r="K216"/>
  <c r="K217"/>
  <c r="K219"/>
  <c r="K707" l="1"/>
  <c r="K153"/>
  <c r="K24"/>
  <c r="K23" s="1"/>
  <c r="K710" l="1"/>
  <c r="K706"/>
  <c r="K30"/>
  <c r="K774"/>
  <c r="C15" i="6" l="1"/>
  <c r="J15"/>
  <c r="K136" a="1"/>
  <c r="K137" s="1"/>
  <c r="J131"/>
  <c r="J126"/>
  <c r="J124"/>
  <c r="N121"/>
  <c r="S114"/>
  <c r="S113"/>
  <c r="S115" s="1"/>
  <c r="R111"/>
  <c r="J111"/>
  <c r="R110"/>
  <c r="J110"/>
  <c r="R109"/>
  <c r="J109"/>
  <c r="R108"/>
  <c r="J108"/>
  <c r="R107"/>
  <c r="J107"/>
  <c r="K96" a="1"/>
  <c r="K96" s="1"/>
  <c r="J91"/>
  <c r="J86"/>
  <c r="J84"/>
  <c r="N81"/>
  <c r="S74"/>
  <c r="S73"/>
  <c r="S75" s="1"/>
  <c r="R71"/>
  <c r="J71"/>
  <c r="R70"/>
  <c r="J70"/>
  <c r="R69"/>
  <c r="J69"/>
  <c r="R68"/>
  <c r="J68"/>
  <c r="R67"/>
  <c r="J67"/>
  <c r="K56" a="1"/>
  <c r="K57" s="1"/>
  <c r="J51"/>
  <c r="A51"/>
  <c r="A52" s="1"/>
  <c r="C50"/>
  <c r="C49"/>
  <c r="C48"/>
  <c r="C47"/>
  <c r="J46"/>
  <c r="C46"/>
  <c r="C45"/>
  <c r="J44"/>
  <c r="C44"/>
  <c r="N41"/>
  <c r="A39"/>
  <c r="A40" s="1"/>
  <c r="C38"/>
  <c r="S33"/>
  <c r="A33"/>
  <c r="A34" s="1"/>
  <c r="C32"/>
  <c r="R31"/>
  <c r="J31"/>
  <c r="R30"/>
  <c r="J30"/>
  <c r="R29"/>
  <c r="J29"/>
  <c r="R28"/>
  <c r="J28"/>
  <c r="R27"/>
  <c r="J27"/>
  <c r="A27"/>
  <c r="A28" s="1"/>
  <c r="C26"/>
  <c r="A21"/>
  <c r="C21" s="1"/>
  <c r="C20"/>
  <c r="C19"/>
  <c r="C18"/>
  <c r="C17"/>
  <c r="C16"/>
  <c r="N5"/>
  <c r="L5"/>
  <c r="J5"/>
  <c r="A3"/>
  <c r="C3" s="1"/>
  <c r="C2"/>
  <c r="O1"/>
  <c r="C27" l="1"/>
  <c r="Y27"/>
  <c r="A22"/>
  <c r="A23" s="1"/>
  <c r="A24" s="1"/>
  <c r="A53"/>
  <c r="C53" s="1"/>
  <c r="C52"/>
  <c r="X27"/>
  <c r="C39"/>
  <c r="Z27"/>
  <c r="K56"/>
  <c r="K58"/>
  <c r="S36"/>
  <c r="C51"/>
  <c r="K97"/>
  <c r="K138"/>
  <c r="I138"/>
  <c r="I109"/>
  <c r="I103"/>
  <c r="I123"/>
  <c r="S35"/>
  <c r="A4"/>
  <c r="P91"/>
  <c r="S116"/>
  <c r="I85"/>
  <c r="I79"/>
  <c r="I73"/>
  <c r="I66"/>
  <c r="I91"/>
  <c r="I72"/>
  <c r="I68"/>
  <c r="I65"/>
  <c r="I96"/>
  <c r="I90"/>
  <c r="I84"/>
  <c r="I64"/>
  <c r="I99"/>
  <c r="I95"/>
  <c r="I89"/>
  <c r="I83"/>
  <c r="I78"/>
  <c r="I69"/>
  <c r="I63"/>
  <c r="I67"/>
  <c r="I98"/>
  <c r="I94"/>
  <c r="I88"/>
  <c r="I82"/>
  <c r="I77"/>
  <c r="I75"/>
  <c r="I62"/>
  <c r="I80"/>
  <c r="I71"/>
  <c r="I97"/>
  <c r="I93"/>
  <c r="I87"/>
  <c r="I70"/>
  <c r="I61"/>
  <c r="I92"/>
  <c r="I81"/>
  <c r="I76"/>
  <c r="I74"/>
  <c r="I60"/>
  <c r="I86"/>
  <c r="Y28"/>
  <c r="A54"/>
  <c r="A41"/>
  <c r="C40"/>
  <c r="X28"/>
  <c r="A35"/>
  <c r="C34"/>
  <c r="C28"/>
  <c r="A29"/>
  <c r="I118"/>
  <c r="I129"/>
  <c r="I135"/>
  <c r="Z28"/>
  <c r="C33"/>
  <c r="K98"/>
  <c r="I104"/>
  <c r="I124"/>
  <c r="I130"/>
  <c r="I136"/>
  <c r="S76"/>
  <c r="I105"/>
  <c r="I108"/>
  <c r="I112"/>
  <c r="I131"/>
  <c r="I106"/>
  <c r="I113"/>
  <c r="I119"/>
  <c r="I125"/>
  <c r="K136"/>
  <c r="I107"/>
  <c r="I111"/>
  <c r="I120"/>
  <c r="I126"/>
  <c r="P131"/>
  <c r="I100"/>
  <c r="I114"/>
  <c r="I116"/>
  <c r="I121"/>
  <c r="I132"/>
  <c r="I101"/>
  <c r="I110"/>
  <c r="I127"/>
  <c r="I133"/>
  <c r="I137"/>
  <c r="I102"/>
  <c r="I115"/>
  <c r="I117"/>
  <c r="I122"/>
  <c r="I128"/>
  <c r="I134"/>
  <c r="A25" l="1"/>
  <c r="C25" s="1"/>
  <c r="C24"/>
  <c r="C22"/>
  <c r="C23"/>
  <c r="C4"/>
  <c r="A5"/>
  <c r="A13" s="1"/>
  <c r="C13" s="1"/>
  <c r="A55"/>
  <c r="C55" s="1"/>
  <c r="C54"/>
  <c r="C35"/>
  <c r="A36"/>
  <c r="C29"/>
  <c r="A30"/>
  <c r="A42"/>
  <c r="C41"/>
  <c r="K828" i="2"/>
  <c r="K781"/>
  <c r="K703"/>
  <c r="K296"/>
  <c r="K297"/>
  <c r="K298"/>
  <c r="K270"/>
  <c r="K269" s="1"/>
  <c r="K54"/>
  <c r="A14" i="6" l="1"/>
  <c r="C14" s="1"/>
  <c r="C5"/>
  <c r="Y30" s="1"/>
  <c r="X29"/>
  <c r="Z29"/>
  <c r="Y29"/>
  <c r="A43"/>
  <c r="C43" s="1"/>
  <c r="C42"/>
  <c r="A31"/>
  <c r="C31" s="1"/>
  <c r="C30"/>
  <c r="C36"/>
  <c r="A37"/>
  <c r="C37" s="1"/>
  <c r="K724" i="2" l="1"/>
  <c r="X30" i="6"/>
  <c r="Z30"/>
  <c r="Z107"/>
  <c r="Z71" l="1"/>
  <c r="Z31"/>
  <c r="X115"/>
  <c r="X107"/>
  <c r="X67"/>
  <c r="X110"/>
  <c r="X35"/>
  <c r="Z111"/>
  <c r="Y110"/>
  <c r="Y115"/>
  <c r="X68"/>
  <c r="X108"/>
  <c r="Z35"/>
  <c r="X71"/>
  <c r="Y71"/>
  <c r="X70"/>
  <c r="Z115"/>
  <c r="X69"/>
  <c r="X111"/>
  <c r="X31"/>
  <c r="X75"/>
  <c r="Y109"/>
  <c r="Y68"/>
  <c r="Z109"/>
  <c r="X109"/>
  <c r="Y70"/>
  <c r="Y31"/>
  <c r="Y111"/>
  <c r="Z108"/>
  <c r="Z75"/>
  <c r="Y75"/>
  <c r="Z110"/>
  <c r="Z67"/>
  <c r="Y35"/>
  <c r="Z68"/>
  <c r="Y69"/>
  <c r="Z69"/>
  <c r="Z70"/>
  <c r="Y107"/>
  <c r="Y108"/>
  <c r="Y67"/>
  <c r="U75" l="1"/>
  <c r="J78" s="1"/>
  <c r="U35"/>
  <c r="U115"/>
  <c r="K78" l="1"/>
  <c r="K118"/>
  <c r="J118"/>
  <c r="K38"/>
  <c r="J38"/>
  <c r="K913" i="2" l="1"/>
  <c r="K820" l="1"/>
  <c r="K819" l="1"/>
  <c r="K833"/>
  <c r="K835" l="1"/>
  <c r="K832" s="1"/>
  <c r="K830" s="1"/>
  <c r="K746" l="1"/>
  <c r="K690" l="1"/>
  <c r="K691"/>
  <c r="K692"/>
  <c r="K689"/>
  <c r="K688" l="1"/>
  <c r="K516" l="1"/>
  <c r="K721" l="1"/>
  <c r="K295"/>
  <c r="K294" s="1"/>
  <c r="K212" l="1"/>
  <c r="K222" l="1"/>
  <c r="K214"/>
  <c r="K301"/>
  <c r="K211"/>
  <c r="K152" l="1"/>
  <c r="K29"/>
  <c r="E45" l="1"/>
  <c r="K4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<sst xmlns="http://schemas.openxmlformats.org/spreadsheetml/2006/main" count="6223" uniqueCount="1943">
  <si>
    <t>un</t>
  </si>
  <si>
    <t>ITEM</t>
  </si>
  <si>
    <t>CÓDIGO</t>
  </si>
  <si>
    <t>FONTE</t>
  </si>
  <si>
    <t>DESCRIÇÃO DOS SERVIÇOS</t>
  </si>
  <si>
    <t>QUANT.</t>
  </si>
  <si>
    <t>1.0</t>
  </si>
  <si>
    <t xml:space="preserve">SERVIÇOS PRELIMINARES </t>
  </si>
  <si>
    <t>1.1</t>
  </si>
  <si>
    <t>SINAPI</t>
  </si>
  <si>
    <t>m²</t>
  </si>
  <si>
    <t>SEINFRA</t>
  </si>
  <si>
    <t>2.0</t>
  </si>
  <si>
    <t>MOVIMENTO DE TERRAS PARA FUNDAÇÕES</t>
  </si>
  <si>
    <t>2.1</t>
  </si>
  <si>
    <t>m³</t>
  </si>
  <si>
    <t>2.2</t>
  </si>
  <si>
    <t>3.0</t>
  </si>
  <si>
    <t xml:space="preserve">FUNDAÇÕES </t>
  </si>
  <si>
    <t>3.1</t>
  </si>
  <si>
    <t>m</t>
  </si>
  <si>
    <t>3.2</t>
  </si>
  <si>
    <t>3.3</t>
  </si>
  <si>
    <t>kg</t>
  </si>
  <si>
    <t>4.0</t>
  </si>
  <si>
    <t>4.1</t>
  </si>
  <si>
    <t>4.2</t>
  </si>
  <si>
    <t>4.3</t>
  </si>
  <si>
    <t>4.4</t>
  </si>
  <si>
    <t>5.0</t>
  </si>
  <si>
    <t>SISTEMA DE VEDAÇÃO VERTICAL INTERNO E EXTERNO (PAREDES)</t>
  </si>
  <si>
    <t>5.1</t>
  </si>
  <si>
    <t>5.2</t>
  </si>
  <si>
    <t>6.0</t>
  </si>
  <si>
    <t>ESQUADRIAS</t>
  </si>
  <si>
    <t>PORTAS DE MADEIRA</t>
  </si>
  <si>
    <t>6.1</t>
  </si>
  <si>
    <t>6.2</t>
  </si>
  <si>
    <t>PORTAS DE ALUMÍNIO</t>
  </si>
  <si>
    <t>JANELAS DE ALUMÍNIO</t>
  </si>
  <si>
    <t>VIDROS</t>
  </si>
  <si>
    <t>7.0</t>
  </si>
  <si>
    <t xml:space="preserve">SISTEMAS DE COBERTURA </t>
  </si>
  <si>
    <t>7.1</t>
  </si>
  <si>
    <t>7.2</t>
  </si>
  <si>
    <t>8.0</t>
  </si>
  <si>
    <t>8.1</t>
  </si>
  <si>
    <t>9.0</t>
  </si>
  <si>
    <t>REVESTIMENTOS INTERNOS E EXTERNOS</t>
  </si>
  <si>
    <t>9.1</t>
  </si>
  <si>
    <t>9.2</t>
  </si>
  <si>
    <t>9.3</t>
  </si>
  <si>
    <t>9.4</t>
  </si>
  <si>
    <t>9.5</t>
  </si>
  <si>
    <t>10.0</t>
  </si>
  <si>
    <t>SISTEMAS DE PISOS INTERNOS E EXTERNOS (PAVIMENTAÇÃO)</t>
  </si>
  <si>
    <t>10.1</t>
  </si>
  <si>
    <t>10.2</t>
  </si>
  <si>
    <t>10.3</t>
  </si>
  <si>
    <t>10.4</t>
  </si>
  <si>
    <t>10.5</t>
  </si>
  <si>
    <t>11.0</t>
  </si>
  <si>
    <t>PINTURA</t>
  </si>
  <si>
    <t>11.1</t>
  </si>
  <si>
    <t>11.2</t>
  </si>
  <si>
    <t>11.3</t>
  </si>
  <si>
    <t>12.0</t>
  </si>
  <si>
    <t>INSTALAÇÕES HIDRÁULICA</t>
  </si>
  <si>
    <t>12.1</t>
  </si>
  <si>
    <t>12.2</t>
  </si>
  <si>
    <t>12.3</t>
  </si>
  <si>
    <t>12.4</t>
  </si>
  <si>
    <t>12.5</t>
  </si>
  <si>
    <t>12.7</t>
  </si>
  <si>
    <t>12.8</t>
  </si>
  <si>
    <t>13.0</t>
  </si>
  <si>
    <t>13.1</t>
  </si>
  <si>
    <t>13.2</t>
  </si>
  <si>
    <t>13.3</t>
  </si>
  <si>
    <t>13.4</t>
  </si>
  <si>
    <t>13.5</t>
  </si>
  <si>
    <t>13.6</t>
  </si>
  <si>
    <t>13.7</t>
  </si>
  <si>
    <t>14.0</t>
  </si>
  <si>
    <t>LOUÇAS E METAIS</t>
  </si>
  <si>
    <t>14.1</t>
  </si>
  <si>
    <t>14.2</t>
  </si>
  <si>
    <t>15.0</t>
  </si>
  <si>
    <t>15.1</t>
  </si>
  <si>
    <t>15.2</t>
  </si>
  <si>
    <t>16.0</t>
  </si>
  <si>
    <t>16.1</t>
  </si>
  <si>
    <t>16.2</t>
  </si>
  <si>
    <t>17.0</t>
  </si>
  <si>
    <t>INSTALAÇÕES ELÉTRICAS E TELEFÔNICAS 220V</t>
  </si>
  <si>
    <t>QUADRO DE DISTRIBUIÇÃO</t>
  </si>
  <si>
    <t>17.1</t>
  </si>
  <si>
    <t>17.2</t>
  </si>
  <si>
    <t>17.3</t>
  </si>
  <si>
    <t>17.4</t>
  </si>
  <si>
    <t>17.5</t>
  </si>
  <si>
    <t>17.6</t>
  </si>
  <si>
    <t>17.7</t>
  </si>
  <si>
    <t>17.8</t>
  </si>
  <si>
    <t>17.9</t>
  </si>
  <si>
    <t>ELETRODUTOS E ACESSÓRIOS</t>
  </si>
  <si>
    <t>CABOS E FIOS (CONDUTORES)</t>
  </si>
  <si>
    <t>ILUMINAÇÃO E TOMADAS</t>
  </si>
  <si>
    <t>18.0</t>
  </si>
  <si>
    <t>SISTEMA DE PROTEÇÃO CONTRA DESCARGAS ATMOSFÉRICAS (SPDA)</t>
  </si>
  <si>
    <t>18.1</t>
  </si>
  <si>
    <t>18.2</t>
  </si>
  <si>
    <t>18.3</t>
  </si>
  <si>
    <t>18.4</t>
  </si>
  <si>
    <t>19.0</t>
  </si>
  <si>
    <t>SERVIÇOS COMPLEMENTARES</t>
  </si>
  <si>
    <t>19.1</t>
  </si>
  <si>
    <t>SERVIÇOS FINAIS</t>
  </si>
  <si>
    <t>IMPLANTAÇÃO</t>
  </si>
  <si>
    <t>C4208</t>
  </si>
  <si>
    <t>8.2</t>
  </si>
  <si>
    <t>8.3</t>
  </si>
  <si>
    <t>8.4</t>
  </si>
  <si>
    <t>8.5</t>
  </si>
  <si>
    <r>
      <t xml:space="preserve">Município: </t>
    </r>
    <r>
      <rPr>
        <sz val="8"/>
        <rFont val="Arial"/>
        <family val="2"/>
      </rPr>
      <t>Toritama - PERNAMBUCO</t>
    </r>
  </si>
  <si>
    <t>DADOS P/ CÁLCULOS</t>
  </si>
  <si>
    <t>UNIDADE</t>
  </si>
  <si>
    <t>Largura</t>
  </si>
  <si>
    <t>Comp.</t>
  </si>
  <si>
    <t>Altura/Prof.</t>
  </si>
  <si>
    <t>Coef.</t>
  </si>
  <si>
    <t>unidade</t>
  </si>
  <si>
    <t>DESCONTO: (Portas e Janelas)</t>
  </si>
  <si>
    <t>COMPOSIÇÃO</t>
  </si>
  <si>
    <t>INTERNO</t>
  </si>
  <si>
    <t>EXTERNO (Muros e outros)</t>
  </si>
  <si>
    <t>ORSE</t>
  </si>
  <si>
    <t>ÁREA DAS JANELAS</t>
  </si>
  <si>
    <t>VISOR DAS PORTAS</t>
  </si>
  <si>
    <t>Cozinha</t>
  </si>
  <si>
    <t>Vestiário</t>
  </si>
  <si>
    <t>Perímetro</t>
  </si>
  <si>
    <t>EXTERNO</t>
  </si>
  <si>
    <t>Sala dos professores</t>
  </si>
  <si>
    <t>Secretaria</t>
  </si>
  <si>
    <t>C2286</t>
  </si>
  <si>
    <t>PISOS INTERNO</t>
  </si>
  <si>
    <t>PISOS EXTERNO</t>
  </si>
  <si>
    <t>GRADES E ALIZAR</t>
  </si>
  <si>
    <t>INSTALAÇÕES SANITÁRIAS</t>
  </si>
  <si>
    <t>C4635</t>
  </si>
  <si>
    <t>ENTRADA DE ENERGIA</t>
  </si>
  <si>
    <t>C4105</t>
  </si>
  <si>
    <t>Registro de gaveta bruto, latão, roscável, 1.1/2", instalado em reservação de água de edificação que possua reservatório de fibra/fibrocimento - fornecimento e instalação. AF_06/2016.</t>
  </si>
  <si>
    <t>Registro de pressão bruto, roscável, 3/4", fornecido e instalado em ramal de água. AF_12/2014.</t>
  </si>
  <si>
    <t>Rep.</t>
  </si>
  <si>
    <t>QUANTIDADE (TOTAL)</t>
  </si>
  <si>
    <t>MIN</t>
  </si>
  <si>
    <t>MED</t>
  </si>
  <si>
    <t>MAX</t>
  </si>
  <si>
    <t>Construção e Reforma de Edifícios</t>
  </si>
  <si>
    <t>AC</t>
  </si>
  <si>
    <t>SG</t>
  </si>
  <si>
    <t>R</t>
  </si>
  <si>
    <t>DF</t>
  </si>
  <si>
    <t>L</t>
  </si>
  <si>
    <t>FILTRO</t>
  </si>
  <si>
    <t>BDI PAD</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</si>
  <si>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</si>
  <si>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</si>
  <si>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</si>
  <si>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</si>
  <si>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</si>
  <si>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</si>
  <si>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TIPO DE OBRA</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</si>
  <si>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</si>
  <si>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</si>
  <si>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</si>
  <si>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</si>
  <si>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</si>
  <si>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</si>
  <si>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</si>
  <si>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</si>
  <si>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</si>
  <si>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</si>
  <si>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</si>
  <si>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</si>
  <si>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</si>
  <si>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</si>
  <si>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</si>
  <si>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</si>
  <si>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</si>
  <si>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COM desoneração</t>
  </si>
  <si>
    <t>BDI DES</t>
  </si>
  <si>
    <t>Fornecimento de Materiais e Equipamentos (aquisição indireta - em conjunto com licitação de obras)</t>
  </si>
  <si>
    <t>Os valores de BDI foram calculados com o emprego da fórmula:</t>
  </si>
  <si>
    <t>BDI =</t>
  </si>
  <si>
    <t xml:space="preserve"> - 1</t>
  </si>
  <si>
    <t>Fornecimento de Materiais e Equipamentos (aquisição direta)</t>
  </si>
  <si>
    <t>Observações:</t>
  </si>
  <si>
    <t>Estudos e Projetos, Planos e Gerenciamento e outros correlatos</t>
  </si>
  <si>
    <t>K1</t>
  </si>
  <si>
    <t>K2</t>
  </si>
  <si>
    <t>Local</t>
  </si>
  <si>
    <t>K3</t>
  </si>
  <si>
    <t>AJUDANTE DE CARPINTEIRO COM ENCARGOS COMPLEMENTARES</t>
  </si>
  <si>
    <t>CARPINTEIRO DE FORMAS COM ENCARGOS COMPLEMENTARES</t>
  </si>
  <si>
    <t>Kit de Porta de madeira para pintura, semi-oca (leve ou média), padrão médio, 0,90x2,10m, espessura de 3,5cm, com Chapa metálica h=50cm, visor de vidro 20x110cm, alizar, dobradiças, montagem e instalação do batente, fechadura com execução do furo - fornecimento e instalação. (PM2 - conforme projeto de Arquitetura).</t>
  </si>
  <si>
    <t>M²</t>
  </si>
  <si>
    <t>KG</t>
  </si>
  <si>
    <t>M</t>
  </si>
  <si>
    <t>SERVENTE COM ENCARGOS COMPLEMENTARES</t>
  </si>
  <si>
    <t>C4442</t>
  </si>
  <si>
    <t>8.6</t>
  </si>
  <si>
    <t>C1126</t>
  </si>
  <si>
    <t>8.7</t>
  </si>
  <si>
    <t>8.8</t>
  </si>
  <si>
    <t>8.9</t>
  </si>
  <si>
    <t>INSTALAÇÕES DE ÁGUAS PLUVIAIS</t>
  </si>
  <si>
    <t xml:space="preserve">Volume escavado = </t>
  </si>
  <si>
    <t xml:space="preserve">Reaterro (Escavação - tubulação) = </t>
  </si>
  <si>
    <t>14.3</t>
  </si>
  <si>
    <t>14.4</t>
  </si>
  <si>
    <t>14.5</t>
  </si>
  <si>
    <t>18.5</t>
  </si>
  <si>
    <t>H</t>
  </si>
  <si>
    <t>PEDREIRO COM ENCARGOS COMPLEMENTARES</t>
  </si>
  <si>
    <t>DISCRIMINAÇÃO DOS SERVIÇOS</t>
  </si>
  <si>
    <t>UNID.</t>
  </si>
  <si>
    <t>PREÇO TOTAL COM BDI</t>
  </si>
  <si>
    <t>% POR ITEM</t>
  </si>
  <si>
    <t>% ACUMULADO</t>
  </si>
  <si>
    <t>ALIZAR DE 5X1,5CM PARA PORTA FIXADO COM PREGOS, PADRÃO MÉDIO - FORNECIMENTO E INSTALAÇÃO. AF_12/2019</t>
  </si>
  <si>
    <t>Sapatas isolodas (MURO EXTERNO)</t>
  </si>
  <si>
    <t>QUANTITATIVO EXTRAIDO DO PROJETO DE MONTAGEM E DISPOSIÇÃO DOS MÓDULOS DE PVC, ATRAVÉS DO SOFT AUTOCAD.</t>
  </si>
  <si>
    <t>Divisórias box</t>
  </si>
  <si>
    <t>Bancada dos banheiros</t>
  </si>
  <si>
    <t>J1</t>
  </si>
  <si>
    <t>J2</t>
  </si>
  <si>
    <t>J3</t>
  </si>
  <si>
    <t>J4</t>
  </si>
  <si>
    <t>C4790</t>
  </si>
  <si>
    <t>P1</t>
  </si>
  <si>
    <t>C1950</t>
  </si>
  <si>
    <t xml:space="preserve">Instalado na saída e no inicio da rede de distribuição que vêm do castelo d'água para abastece os ambientes de consumo. </t>
  </si>
  <si>
    <t xml:space="preserve">Desconto da tubulação  DN-150 = </t>
  </si>
  <si>
    <t>QUANTITATIVO EXTRAIDO DO PROJETO DE ARQUITETURA, ATRAVÉS DO SOFT AUTOCAD.</t>
  </si>
  <si>
    <t>02450</t>
  </si>
  <si>
    <t>ADMINISTRAÇÃO LOCAL DA OBRA</t>
  </si>
  <si>
    <t>5.3</t>
  </si>
  <si>
    <t>5.4</t>
  </si>
  <si>
    <t>5.5</t>
  </si>
  <si>
    <t>5.6</t>
  </si>
  <si>
    <t>5.7</t>
  </si>
  <si>
    <t>5.8</t>
  </si>
  <si>
    <t>5.9</t>
  </si>
  <si>
    <t>6.1.1</t>
  </si>
  <si>
    <t>6.1.2</t>
  </si>
  <si>
    <t>6.1.3</t>
  </si>
  <si>
    <t>6.1.4</t>
  </si>
  <si>
    <t>6.1.5</t>
  </si>
  <si>
    <t>6.1.6</t>
  </si>
  <si>
    <t>6.2.1</t>
  </si>
  <si>
    <t>10.6</t>
  </si>
  <si>
    <t>10.7</t>
  </si>
  <si>
    <t>15.3</t>
  </si>
  <si>
    <t>15.4</t>
  </si>
  <si>
    <t>15.5</t>
  </si>
  <si>
    <t>15.6</t>
  </si>
  <si>
    <t>15.7</t>
  </si>
  <si>
    <t>15.8</t>
  </si>
  <si>
    <t>15.9</t>
  </si>
  <si>
    <t>15.10</t>
  </si>
  <si>
    <t>15.11</t>
  </si>
  <si>
    <t>15.12</t>
  </si>
  <si>
    <t>15.13</t>
  </si>
  <si>
    <t>15.14</t>
  </si>
  <si>
    <t>15.15</t>
  </si>
  <si>
    <t>15.16</t>
  </si>
  <si>
    <t>FORNECIMENTO DE KIT (M²) DE PERFIL MODULARES EM PVC, COMPOSTOS POR: MÓDULO BÁSICO; MÓDULO DE ACOPLAMENTO; MÓDULO MULTIFUNCIONAL; MÓDULO DE ACABAMENTO (PAREDES E PAINÉIS); MÓDULO CANALETA (INSTALAÇÕES); MÓDULO DE ACABAMENTO DAS ABERTURAS E MÓDULO ESPECIAL PARA PASSAGEM DE TUBULAÇÕES.</t>
  </si>
  <si>
    <t>SICRO</t>
  </si>
  <si>
    <t>11.4</t>
  </si>
  <si>
    <t>11.5</t>
  </si>
  <si>
    <t>UNITÁRIO</t>
  </si>
  <si>
    <t xml:space="preserve">V.T.ESTIMADO = </t>
  </si>
  <si>
    <t>Grau de Sigilo</t>
  </si>
  <si>
    <t>#PUBLICO</t>
  </si>
  <si>
    <t>Nº OPERAÇÃO</t>
  </si>
  <si>
    <t>Nº SICONV</t>
  </si>
  <si>
    <t>PROPONENTE / TOMADOR</t>
  </si>
  <si>
    <t>APELIDO DO EMPREENDIMENTO / DESCRIÇÃO DO LOTE</t>
  </si>
  <si>
    <t>BDI 1</t>
  </si>
  <si>
    <t>(1-CP-ISS-CRPB)</t>
  </si>
  <si>
    <t>Data</t>
  </si>
  <si>
    <t>Responsável Técnico</t>
  </si>
  <si>
    <t>Nome:</t>
  </si>
  <si>
    <t>CREA/CAU:</t>
  </si>
  <si>
    <t>ART/RRT:</t>
  </si>
  <si>
    <t>BDI 2</t>
  </si>
  <si>
    <t>(SELECIONAR)</t>
  </si>
  <si>
    <t>BDI 3</t>
  </si>
  <si>
    <t>WC adm.</t>
  </si>
  <si>
    <t>JARDINS EXTERNOS</t>
  </si>
  <si>
    <t xml:space="preserve">Instalado nas derivações da rede de distribuição que vêm do reservatório para abastece os ambientes de consumo. </t>
  </si>
  <si>
    <t xml:space="preserve">Redução da rede de distribuição que vêm do reservatório para abastece os ambientes de consumo. </t>
  </si>
  <si>
    <t>Fundação (MURO EXTERNO)</t>
  </si>
  <si>
    <t>Volume de Concreto magro:</t>
  </si>
  <si>
    <t>Volume de Concreto armado:</t>
  </si>
  <si>
    <t>Volume da alvenaria de 1 vez:</t>
  </si>
  <si>
    <t>TOTAL ESCAVADO =</t>
  </si>
  <si>
    <t>Área total da edificação (Conforme projeto de estrutura de concreto armado)</t>
  </si>
  <si>
    <t>Perímetro total da edificação (Conforme projeto de estrutura de concreto armado)</t>
  </si>
  <si>
    <t>PILARES</t>
  </si>
  <si>
    <t>SAPATAS</t>
  </si>
  <si>
    <t>VIGAS</t>
  </si>
  <si>
    <t>Calçada da frente do terreno, conforme projeto</t>
  </si>
  <si>
    <t>Calçada de contorno da edificação, conforme projeto (Frente)</t>
  </si>
  <si>
    <t>8.10</t>
  </si>
  <si>
    <t>8.11</t>
  </si>
  <si>
    <t>8.12</t>
  </si>
  <si>
    <t>12.6</t>
  </si>
  <si>
    <t>12.9</t>
  </si>
  <si>
    <t>BDI DESONERADO NORMAL = 26,68%</t>
  </si>
  <si>
    <t>ANEXO-7 COMPOSIÇÃO DE ENCARGOS SOCIAIS (REFERÊNCIA)</t>
  </si>
  <si>
    <t>ANEXO-8 ITENS DE MAIOR RELEVÂNCIA</t>
  </si>
  <si>
    <t>ANEXO-6 CRONOGRAMA FÍSICO-FINANCEIRO</t>
  </si>
  <si>
    <t>ANEXO-1 MEMÓRIA DE CÁLCULO - QUANTITATIVOS</t>
  </si>
  <si>
    <t>ANEXO-2 QUADRO DE COMPOSIÇÕES DO BDI-NORMAL</t>
  </si>
  <si>
    <t>ANEXO-3 COMPOSIÇÕES DE PREÇO UNITÁRIO</t>
  </si>
  <si>
    <t>ANEXO-5 PLANILHA BÁSICA DE ORÇAMENTO</t>
  </si>
  <si>
    <t>NOTA:</t>
  </si>
  <si>
    <r>
      <t xml:space="preserve">Obra: </t>
    </r>
    <r>
      <rPr>
        <sz val="8"/>
        <rFont val="Arial"/>
        <family val="2"/>
      </rPr>
      <t>CONSTRUÇÃO DE UMA CRECHE</t>
    </r>
    <r>
      <rPr>
        <b/>
        <sz val="8"/>
        <rFont val="Arial"/>
        <family val="2"/>
      </rPr>
      <t>, (CONCRETO/PVC - MODELO CONSTRUTIVO EM SÉRIE)</t>
    </r>
  </si>
  <si>
    <t>Sanitário Creche II - sala 01 e 02</t>
  </si>
  <si>
    <t>Sanitário Creche II - sala 03 e 04</t>
  </si>
  <si>
    <t>Alimentação Creche I - sala 01 e 02</t>
  </si>
  <si>
    <t>Alimentação Creche I - sala 03 e 04</t>
  </si>
  <si>
    <t>14.6</t>
  </si>
  <si>
    <t>Bancadas da cozinha/área de serviço</t>
  </si>
  <si>
    <t>Bancadas da Creche II - sala 1-2, 3-4</t>
  </si>
  <si>
    <t>secretaria/sala dos professores/diretoria</t>
  </si>
  <si>
    <t>creche II - sala 01 a 04</t>
  </si>
  <si>
    <t>aréa prox. Ao sanitário - cheche II</t>
  </si>
  <si>
    <t>Sala Multiuso</t>
  </si>
  <si>
    <t>6.2.2</t>
  </si>
  <si>
    <t>6.2.3</t>
  </si>
  <si>
    <t>Creche 01 e creche 02 (acesso), Área de serviço, acesso ao sanitário</t>
  </si>
  <si>
    <t>7.3</t>
  </si>
  <si>
    <t>7.5</t>
  </si>
  <si>
    <t xml:space="preserve">SINAPI </t>
  </si>
  <si>
    <t>7.4</t>
  </si>
  <si>
    <t>J5</t>
  </si>
  <si>
    <t>J6</t>
  </si>
  <si>
    <t>J7</t>
  </si>
  <si>
    <t>J8</t>
  </si>
  <si>
    <t>J9</t>
  </si>
  <si>
    <t>J13</t>
  </si>
  <si>
    <t>J10</t>
  </si>
  <si>
    <t>J11</t>
  </si>
  <si>
    <t>J12</t>
  </si>
  <si>
    <t>7.6</t>
  </si>
  <si>
    <t>7.7</t>
  </si>
  <si>
    <t>Diretoria</t>
  </si>
  <si>
    <t>Creche I - Sala 1</t>
  </si>
  <si>
    <t>Creche I - Sala 2</t>
  </si>
  <si>
    <t>Creche I - Sala 3</t>
  </si>
  <si>
    <t>Creche I - Sala 4</t>
  </si>
  <si>
    <t>Creche I - repouso 1</t>
  </si>
  <si>
    <t>Creche I - repouso 2</t>
  </si>
  <si>
    <t>Creche I - alimentação 1</t>
  </si>
  <si>
    <t>Creche I - fraldário 1</t>
  </si>
  <si>
    <t>Creche I - alimentação 2</t>
  </si>
  <si>
    <t>Creche I - fraldário 2</t>
  </si>
  <si>
    <t>Creche I - repouso 3</t>
  </si>
  <si>
    <t>Creche I - repouso 4</t>
  </si>
  <si>
    <t>Creche II - Sala 1</t>
  </si>
  <si>
    <t>Creche II - Sala 2</t>
  </si>
  <si>
    <t>Creche II - Sala 3</t>
  </si>
  <si>
    <t>Creche II - Sala 4</t>
  </si>
  <si>
    <t>Hall de entrada</t>
  </si>
  <si>
    <t>Circulação principal</t>
  </si>
  <si>
    <t>Sanitário 1</t>
  </si>
  <si>
    <t>Sanitário 2</t>
  </si>
  <si>
    <t>Sanitário 3</t>
  </si>
  <si>
    <t>Sanitário 4</t>
  </si>
  <si>
    <t>lactário</t>
  </si>
  <si>
    <t xml:space="preserve">Copa </t>
  </si>
  <si>
    <t>Dispensa</t>
  </si>
  <si>
    <t>Lavanderia</t>
  </si>
  <si>
    <t>BWC, serviço</t>
  </si>
  <si>
    <t>Circulação área de serviço</t>
  </si>
  <si>
    <t>Creche I - alimentação 3</t>
  </si>
  <si>
    <t>Creche I - alimentação 4</t>
  </si>
  <si>
    <t>Creche I - fraldário 4</t>
  </si>
  <si>
    <t>Creche I - fraldário 3</t>
  </si>
  <si>
    <t>Calçada de contorno da edificação, conforme projeto (Laterais)</t>
  </si>
  <si>
    <t>Calçada de contorno da edificação, conforme projeto (Fundos)</t>
  </si>
  <si>
    <t>10.8</t>
  </si>
  <si>
    <t>Platibanda em Placa cimentícia (acesso e demais lados da creche)</t>
  </si>
  <si>
    <t>RESERVATÓRIO D’ÁGUA METÁLICO – Tipo TAÇA – COLUNA SECA medindo 2540mm de diâmetro na taça e 1270mm de diâmetro na coluna, altura total 10.700mm, incluindo varanda superior, conforme projeto; CAPACIDADE=30.000 Litros.</t>
  </si>
  <si>
    <t>CASTELO D'ÁGUA METÁLICO COM CAPACIDADE PARA 30.000L, INCLUSO, GUARDA-CORPPO, ESCADA, TIPO MARINHEIRO, CHUMBADORES E PINTURA - FABRICAÇÃO, TRANSPORTE E INSTALAÇÃO.</t>
  </si>
  <si>
    <t>M³</t>
  </si>
  <si>
    <t>área</t>
  </si>
  <si>
    <t>12878</t>
  </si>
  <si>
    <t>9900</t>
  </si>
  <si>
    <t>Vergalhão de cobre eletrolítico de 3/8"</t>
  </si>
  <si>
    <t>Conector de pressão para cabo nu de 35mm² - fornecimento e instalação</t>
  </si>
  <si>
    <t>Serviço executado para limpeza, e remoção de entulhos para preparação de toda a superficie para locação e inicio das obras de edificação.</t>
  </si>
  <si>
    <t>COMP. - 012</t>
  </si>
  <si>
    <t>Pedra argamassada com cimento e areia 1:3 - areia e pedra de mão comercial - fornecimento e assentamento</t>
  </si>
  <si>
    <t>COMP. - 013</t>
  </si>
  <si>
    <t>COMP. - 015</t>
  </si>
  <si>
    <t>COMP. - 016</t>
  </si>
  <si>
    <t>16.3</t>
  </si>
  <si>
    <t>16.8</t>
  </si>
  <si>
    <t>16.9</t>
  </si>
  <si>
    <t>16.10</t>
  </si>
  <si>
    <t>16.11</t>
  </si>
  <si>
    <t>16.12</t>
  </si>
  <si>
    <t>16.13</t>
  </si>
  <si>
    <t>16.14</t>
  </si>
  <si>
    <t>16.15</t>
  </si>
  <si>
    <t>16.16</t>
  </si>
  <si>
    <t>16.17</t>
  </si>
  <si>
    <t>16.18</t>
  </si>
  <si>
    <t>16.19</t>
  </si>
  <si>
    <t>16.20</t>
  </si>
  <si>
    <t>16.21</t>
  </si>
  <si>
    <t>16.22</t>
  </si>
  <si>
    <t>16.23</t>
  </si>
  <si>
    <t>16.24</t>
  </si>
  <si>
    <t>16.25</t>
  </si>
  <si>
    <t>16.26</t>
  </si>
  <si>
    <t>16.27</t>
  </si>
  <si>
    <t>COMP. - 017</t>
  </si>
  <si>
    <t>Vala para tubulação (creche)</t>
  </si>
  <si>
    <t>Terreno da creche</t>
  </si>
  <si>
    <t>COMP. - 018</t>
  </si>
  <si>
    <t xml:space="preserve"> COMP-019</t>
  </si>
  <si>
    <t xml:space="preserve"> COMP-020</t>
  </si>
  <si>
    <t>Área total da edificação (Conforme projeto de estrutura de concreto armado). COEFICIENTE: 3,11kg/m²</t>
  </si>
  <si>
    <t>(Acesso aos banheiros - Salas ADM e serviço )</t>
  </si>
  <si>
    <t>Unidade</t>
  </si>
  <si>
    <t>Creche</t>
  </si>
  <si>
    <t>DESCONTO DAS ÁREAS DE CERÂMICA, PORTAS e JANELAS: (Interna e externa)</t>
  </si>
  <si>
    <t/>
  </si>
  <si>
    <t>MASSA PREMIUM PARA TEXTURA LISA DE BASE ACRILICA, USO INTERNO E EXTERNO</t>
  </si>
  <si>
    <t>PINTOR COM ENCARGOS COMPLEMENTARES</t>
  </si>
  <si>
    <t>TORNEIRA CROMADA TUBO MÓVEL, DE PAREDE, 1/2 OU 3/4, PARA PIA DE COZINHA, PADRÃO MÉDIO - FORNECIMENTO E INSTALAÇÃO. AF_01/2020</t>
  </si>
  <si>
    <t>UN</t>
  </si>
  <si>
    <t>FITA VEDA ROSCA EM ROLOS DE 18 MM X 10 M (L X C)</t>
  </si>
  <si>
    <t>ENCANADOR OU BOMBEIRO HIDRÁULICO COM ENCARGOS COMPLEMENTARES</t>
  </si>
  <si>
    <t>PISO TATIL ALERTA OU DIRECIONAL, DE BORRACHA, COLORIDO, 25 X 25 CM, E = 5 MM, PARA COLA, INCLUSIVE FORNECIMENTO E ASSENTAMENTO.</t>
  </si>
  <si>
    <t>FRENTE</t>
  </si>
  <si>
    <t>COMP. - 001</t>
  </si>
  <si>
    <t>COMP. - 002</t>
  </si>
  <si>
    <t xml:space="preserve"> COMP- 003</t>
  </si>
  <si>
    <t>Vala para construção do muro de contenção em pedras (MURO EXTERNO)</t>
  </si>
  <si>
    <t>6.2.4</t>
  </si>
  <si>
    <t>6.2.5</t>
  </si>
  <si>
    <t>6.2.6</t>
  </si>
  <si>
    <t>QUANTITATIVO EXTRAIDO DO PROJETO DE ESTRUTURA DE CONCRETO. - (Pilares e Vigas / Cintas, acima da cota +0,00)</t>
  </si>
  <si>
    <t>6.2.7</t>
  </si>
  <si>
    <t>6.2.8</t>
  </si>
  <si>
    <t>COMP. - 005</t>
  </si>
  <si>
    <t>(Acesso aos banheiros acessíveis)</t>
  </si>
  <si>
    <t>área (m²)</t>
  </si>
  <si>
    <t>11.6</t>
  </si>
  <si>
    <t>11.7</t>
  </si>
  <si>
    <t>11.8</t>
  </si>
  <si>
    <t>15.17</t>
  </si>
  <si>
    <t>15.18</t>
  </si>
  <si>
    <t>COMP. - 007</t>
  </si>
  <si>
    <t>C4940</t>
  </si>
  <si>
    <t>COMP. - 011</t>
  </si>
  <si>
    <t>COMP. - 021</t>
  </si>
  <si>
    <t>COMP. - 004</t>
  </si>
  <si>
    <t>COMP. - 022</t>
  </si>
  <si>
    <t>COMP.006</t>
  </si>
  <si>
    <t xml:space="preserve"> COMP-008</t>
  </si>
  <si>
    <t>ALVENARIA DE TIJOLO CERÂMICO FURADO (9x19x19)CM COM ARGAMASSA DE CIMENTO E AREIA, ESP.=19CM.</t>
  </si>
  <si>
    <t>MONTADOR DE ESTRUTURA METÁLICA COM ENCARGOS COMPLEMENTARES</t>
  </si>
  <si>
    <t>CHP</t>
  </si>
  <si>
    <t>CHI</t>
  </si>
  <si>
    <t>PERFIL "U" SIMPLES DE ACO GALVANIZADO DOBRADO 75 X *40* MM, E = 2,65 MM</t>
  </si>
  <si>
    <t>ESTRUTURA TRELIÇADA, FORMADA POR PERFIS U 75X40MM # 2,00MM, COM LIGAÇÕES SOLDADAS, INCLUSOS PERFIS METÁLICOS, CHAPAS METÁLICAS, MÃO DE OBRA E TRANSPORTE COM GUINDASTE - FORNECIMENTO E INSTALAÇÃO.</t>
  </si>
  <si>
    <t>Área das calhas</t>
  </si>
  <si>
    <t>COMP. - 009</t>
  </si>
  <si>
    <t>FONTE DE PESQUISA:</t>
  </si>
  <si>
    <t>SERVIÇO/INSUMO:</t>
  </si>
  <si>
    <t>UNIDADE DE MEDIDA:</t>
  </si>
  <si>
    <t>LOCAL/MUNICÍPIO/UF.</t>
  </si>
  <si>
    <t>TIPO DE OBRA:</t>
  </si>
  <si>
    <t>PROCESSO</t>
  </si>
  <si>
    <t>MODALIDADE</t>
  </si>
  <si>
    <t>CONTRATO N.º</t>
  </si>
  <si>
    <t>DATA</t>
  </si>
  <si>
    <t>VALOR UNITÁRIO S/ BDI:</t>
  </si>
  <si>
    <t>Site do TCE-PE (Tome Conta)</t>
  </si>
  <si>
    <t>Belo Jardim - PE.</t>
  </si>
  <si>
    <t>Construção de escola (terrea)</t>
  </si>
  <si>
    <t>070/2021</t>
  </si>
  <si>
    <t>Tomada de Preços n.º 007/2021</t>
  </si>
  <si>
    <t>122/2021</t>
  </si>
  <si>
    <t>086/2021</t>
  </si>
  <si>
    <t>Tomada de Preços n.º 008/2021</t>
  </si>
  <si>
    <t>137/2021</t>
  </si>
  <si>
    <t>Tomada de Preços n.º 002/2021</t>
  </si>
  <si>
    <t>Sirinhaém - PE</t>
  </si>
  <si>
    <t>047/2021</t>
  </si>
  <si>
    <t>Dispensa n.º 009/2021</t>
  </si>
  <si>
    <t>085/2021</t>
  </si>
  <si>
    <t>Toritama - PE</t>
  </si>
  <si>
    <t>019/2021</t>
  </si>
  <si>
    <t>Concorrência n.º 001/2021</t>
  </si>
  <si>
    <t>030/2021</t>
  </si>
  <si>
    <t>024/2021</t>
  </si>
  <si>
    <t>Concorrência n.º 002/2021</t>
  </si>
  <si>
    <t>050/2021</t>
  </si>
  <si>
    <t>026/2021</t>
  </si>
  <si>
    <t>038/2021</t>
  </si>
  <si>
    <r>
      <rPr>
        <b/>
        <sz val="11"/>
        <color theme="1"/>
        <rFont val="Calibri"/>
        <family val="2"/>
        <scheme val="minor"/>
      </rPr>
      <t>ITEM 6.1.2</t>
    </r>
    <r>
      <rPr>
        <sz val="11"/>
        <color theme="1"/>
        <rFont val="Calibri"/>
        <family val="2"/>
        <scheme val="minor"/>
      </rPr>
      <t xml:space="preserve"> (INSUMO) - FORNECIMENTO DE KIT (M,) DE PERFIL MODULARES EM PVC, COMPOSTOS POR: MÓDULO BÁ5ICO; MÓDULO DE ACOPLAMENTO;
MÓDULo MULTIFUNCIoNAL; MÓDULO DE ACABAMENTO (PAREDES E PAINÉIS); MÓDULO CANALETA (INSTALAÇÕES); MÓDULO DE ACABAMENTO DAS ABERTURAS E MÓDULO ESPECTAL PARA
PASSAGEM DE TUBULAÇÕES.</t>
    </r>
  </si>
  <si>
    <t xml:space="preserve">CONTRATO PMT N.º 030/2021 </t>
  </si>
  <si>
    <t xml:space="preserve">CONTRATO PMT N.º 050/2021 </t>
  </si>
  <si>
    <t xml:space="preserve">Contrato FMS n.º 038/2021 </t>
  </si>
  <si>
    <t>Construção de Unidade Básica de Saúde (UBS) - terrea</t>
  </si>
  <si>
    <t xml:space="preserve">MÉDIA GERAL DOS PREÇOS UNITÁRIOS = </t>
  </si>
  <si>
    <r>
      <rPr>
        <b/>
        <sz val="11"/>
        <color theme="1"/>
        <rFont val="Calibri"/>
        <family val="2"/>
        <scheme val="minor"/>
      </rPr>
      <t>ITEM 6.1.2</t>
    </r>
    <r>
      <rPr>
        <sz val="11"/>
        <color theme="1"/>
        <rFont val="Calibri"/>
        <family val="2"/>
        <scheme val="minor"/>
      </rPr>
      <t xml:space="preserve"> (INSUMO) - FORNECIMENTO DE KIT (M²) DE PERFIL MODULARES EM PVC, COMPOSTOS POR: MÓDULO BÁSICO; MÓDULO DE ACOPLAMENTO; MÓDULO MULTIFUNCIONAL; MÓDULO DE ACABAMENTO (PAREDES E PAINÉIS); MÓDULO CANALETA (INSTALAÇÕES); MÓDULO DE ACABAMENTO DAS
ABERTURAS E MÓDULO ESPECIAL PARA PASSAGEM.</t>
    </r>
  </si>
  <si>
    <r>
      <rPr>
        <b/>
        <sz val="11"/>
        <color theme="1"/>
        <rFont val="Calibri"/>
        <family val="2"/>
        <scheme val="minor"/>
      </rPr>
      <t>ITEM 6</t>
    </r>
    <r>
      <rPr>
        <sz val="11"/>
        <color theme="1"/>
        <rFont val="Calibri"/>
        <family val="2"/>
        <scheme val="minor"/>
      </rPr>
      <t xml:space="preserve"> - FORNCIMENTO DE MODULOS EN PVC, INCLUSIVE ACESSORIOS, EM CONFORMIDADE COM A DIRETRIZ SINAT 004 / REV1-DATEC 017A (MINISTERIO DE DESENVOLVIMENTO REGIONAL)</t>
    </r>
  </si>
  <si>
    <r>
      <rPr>
        <b/>
        <sz val="11"/>
        <color theme="1"/>
        <rFont val="Calibri"/>
        <family val="2"/>
        <scheme val="minor"/>
      </rPr>
      <t>ITEM 21</t>
    </r>
    <r>
      <rPr>
        <sz val="11"/>
        <color theme="1"/>
        <rFont val="Calibri"/>
        <family val="2"/>
        <scheme val="minor"/>
      </rPr>
      <t xml:space="preserve"> - Fornecimento de módulos (perfil/divisória) de PVC, Tecnologia Concreto PVC.</t>
    </r>
  </si>
  <si>
    <r>
      <rPr>
        <b/>
        <sz val="11"/>
        <color theme="1"/>
        <rFont val="Calibri"/>
        <family val="2"/>
        <scheme val="minor"/>
      </rPr>
      <t>ITEM 172</t>
    </r>
    <r>
      <rPr>
        <sz val="11"/>
        <color theme="1"/>
        <rFont val="Calibri"/>
        <family val="2"/>
        <scheme val="minor"/>
      </rPr>
      <t xml:space="preserve"> - Fornecimento de módulos (perfil) em PVC, inclusive acessórios.</t>
    </r>
  </si>
  <si>
    <t>PESQUISA DE PREÇO UNITÁRIO, DE ACORDO COM A INSTRUÇÃO NORMATIVA N.º 73/2020 (Ministério da Econômia</t>
  </si>
  <si>
    <r>
      <t xml:space="preserve">Obra: </t>
    </r>
    <r>
      <rPr>
        <sz val="11"/>
        <rFont val="Calibri"/>
        <family val="2"/>
        <scheme val="minor"/>
      </rPr>
      <t>CONSTRUÇÃO DE UMA CRECHE</t>
    </r>
    <r>
      <rPr>
        <b/>
        <sz val="11"/>
        <rFont val="Calibri"/>
        <family val="2"/>
        <scheme val="minor"/>
      </rPr>
      <t>, (CONCRETO/PVC - MODELO CONSTRUTIVO EM SÉRIE)</t>
    </r>
  </si>
  <si>
    <r>
      <t xml:space="preserve">Município: </t>
    </r>
    <r>
      <rPr>
        <sz val="11"/>
        <rFont val="Calibri"/>
        <family val="2"/>
        <scheme val="minor"/>
      </rPr>
      <t>Toritama - PERNAMBUCO</t>
    </r>
  </si>
  <si>
    <t>1 - SEGUE ANEXO OS PRINTS DAS TELAS DE PESQUISA DOS RESPECTIVOS PROCESSOS;</t>
  </si>
  <si>
    <t>2 - CÓPIA DOS CONTRATOS OBJETO DAS PESQUISAS.</t>
  </si>
  <si>
    <t>Item</t>
  </si>
  <si>
    <t>Código</t>
  </si>
  <si>
    <t>Banco</t>
  </si>
  <si>
    <t>Descrição</t>
  </si>
  <si>
    <t>Und</t>
  </si>
  <si>
    <t>Quant.</t>
  </si>
  <si>
    <t>Valor Unit com BDI</t>
  </si>
  <si>
    <t>Total</t>
  </si>
  <si>
    <t>Peso (%)</t>
  </si>
  <si>
    <t xml:space="preserve"> 1 </t>
  </si>
  <si>
    <t xml:space="preserve"> 1.1 </t>
  </si>
  <si>
    <t>Próprio</t>
  </si>
  <si>
    <t>PLANILHA DOS CUSTOS DA ADMINISTRAÇÃO LOCAL PARA A OBRA</t>
  </si>
  <si>
    <t xml:space="preserve"> 2 </t>
  </si>
  <si>
    <t xml:space="preserve"> 2.1 </t>
  </si>
  <si>
    <t xml:space="preserve"> 101207 </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</si>
  <si>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</si>
  <si>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 2.2 </t>
  </si>
  <si>
    <t xml:space="preserve"> 98459 </t>
  </si>
  <si>
    <t>TAPUME COM TELHA METÁLICA. AF_05/2018</t>
  </si>
  <si>
    <t xml:space="preserve"> 3 </t>
  </si>
  <si>
    <t>SERVIÇOS PRELIMINARES</t>
  </si>
  <si>
    <t xml:space="preserve"> 3.1 </t>
  </si>
  <si>
    <t xml:space="preserve"> COMP-0002 </t>
  </si>
  <si>
    <t>PLACA DE OBRA EM CHAPA DE AÇO GALVANIZADO</t>
  </si>
  <si>
    <t xml:space="preserve"> 3.2 </t>
  </si>
  <si>
    <t xml:space="preserve"> 99059 </t>
  </si>
  <si>
    <t>LOCACAO CONVENCIONAL DE OBRA, UTILIZANDO GABARITO DE TÁBUAS CORRIDAS PONTALETADAS A CADA 2,00M -  2 UTILIZAÇÕES. AF_10/2018</t>
  </si>
  <si>
    <t xml:space="preserve"> 3.3 </t>
  </si>
  <si>
    <t xml:space="preserve"> COMP-012 </t>
  </si>
  <si>
    <t>INSTALAÇÕES PROVISÓRIAS DE LUZ, FORÇA, TELEFONE E LÓGICA</t>
  </si>
  <si>
    <t xml:space="preserve"> 3.4 </t>
  </si>
  <si>
    <t xml:space="preserve"> 4 </t>
  </si>
  <si>
    <t xml:space="preserve"> 4.1 </t>
  </si>
  <si>
    <t>ATERRO C/ COMPACTAÇÃO MECÂNICA E CONTROLE, MATERIAL DE AQUISIÇÃO</t>
  </si>
  <si>
    <t xml:space="preserve"> 4.2 </t>
  </si>
  <si>
    <t xml:space="preserve"> 93358 </t>
  </si>
  <si>
    <t>ESCAVAÇÃO MANUAL DE VALA COM PROFUNDIDADE MENOR OU IGUAL A 1,30 M. AF_02/2021</t>
  </si>
  <si>
    <t xml:space="preserve"> 4.3 </t>
  </si>
  <si>
    <t xml:space="preserve"> 93382 </t>
  </si>
  <si>
    <t>REATERRO MANUAL DE VALAS COM COMPACTAÇÃO MECANIZADA. AF_04/2016</t>
  </si>
  <si>
    <t xml:space="preserve"> 4.4 </t>
  </si>
  <si>
    <t xml:space="preserve"> 101616 </t>
  </si>
  <si>
    <t>PREPARO DE FUNDO DE VALA COM LARGURA MENOR QUE 1,5 M (ACERTO DO SOLO NATURAL). AF_08/2020</t>
  </si>
  <si>
    <t xml:space="preserve"> 5 </t>
  </si>
  <si>
    <t>FUNDAÇÕES</t>
  </si>
  <si>
    <t xml:space="preserve"> 5.1 </t>
  </si>
  <si>
    <t xml:space="preserve"> 95241 </t>
  </si>
  <si>
    <t>LASTRO DE CONCRETO MAGRO, APLICADO EM PISOS, LAJES SOBRE SOLO OU RADIERS, ESPESSURA DE 5 CM. AF_07/2016</t>
  </si>
  <si>
    <t xml:space="preserve"> 5.2 </t>
  </si>
  <si>
    <t xml:space="preserve"> COMP-021 </t>
  </si>
  <si>
    <t xml:space="preserve"> 5.3 </t>
  </si>
  <si>
    <t xml:space="preserve"> 1506055 </t>
  </si>
  <si>
    <t>SICRO3</t>
  </si>
  <si>
    <t xml:space="preserve"> 5.4 </t>
  </si>
  <si>
    <t xml:space="preserve"> 96396 </t>
  </si>
  <si>
    <t>EXECUÇÃO E COMPACTAÇÃO DE BASE E OU SUB BASE PARA PAVIMENTAÇÃO DE BRITA GRADUADA SIMPLES - EXCLUSIVE CARGA E TRANSPORTE. AF_11/2019</t>
  </si>
  <si>
    <t xml:space="preserve"> 5.5 </t>
  </si>
  <si>
    <t xml:space="preserve"> 97087 </t>
  </si>
  <si>
    <t>CAMADA SEPARADORA PARA EXECUÇÃO DE RADIER, PISO DE CONCRETO OU LAJE SOBRE SOLO, EM LONA PLÁSTICA. AF_09/2021</t>
  </si>
  <si>
    <t xml:space="preserve"> 5.6 </t>
  </si>
  <si>
    <t xml:space="preserve"> 97086 </t>
  </si>
  <si>
    <t>FABRICAÇÃO, MONTAGEM E DESMONTAGEM DE FORMA PARA RADIER, PISO DE CONCRETO OU LAJE SOBRE SOLO, EM MADEIRA SERRADA, 4 UTILIZAÇÕES. AF_09/2021</t>
  </si>
  <si>
    <t xml:space="preserve"> 5.7 </t>
  </si>
  <si>
    <t xml:space="preserve"> 96535 </t>
  </si>
  <si>
    <t>FABRICAÇÃO, MONTAGEM E DESMONTAGEM DE FÔRMA PARA SAPATA, EM MADEIRA SERRADA, E=25 MM, 4 UTILIZAÇÕES. AF_06/2017</t>
  </si>
  <si>
    <t xml:space="preserve"> 5.8 </t>
  </si>
  <si>
    <t xml:space="preserve"> 96536 </t>
  </si>
  <si>
    <t>FABRICAÇÃO, MONTAGEM E DESMONTAGEM DE FÔRMA PARA VIGA BALDRAME, EM MADEIRA SERRADA, E=25 MM, 4 UTILIZAÇÕES. AF_06/2017</t>
  </si>
  <si>
    <t xml:space="preserve"> 5.9 </t>
  </si>
  <si>
    <t xml:space="preserve"> 92413 </t>
  </si>
  <si>
    <t>MONTAGEM E DESMONTAGEM DE FÔRMA DE PILARES RETANGULARES E ESTRUTURAS SIMILARES, PÉ-DIREITO SIMPLES, EM MADEIRA SERRADA, 4 UTILIZAÇÕES. AF_09/2020</t>
  </si>
  <si>
    <t xml:space="preserve"> 5.10 </t>
  </si>
  <si>
    <t xml:space="preserve"> 92791 </t>
  </si>
  <si>
    <t>CORTE E DOBRA DE AÇO CA-60, DIÂMETRO DE 5,0 MM, UTILIZADO EM ESTRUTURAS DIVERSAS, EXCETO LAJES. AF_12/2015</t>
  </si>
  <si>
    <t xml:space="preserve"> 5.11 </t>
  </si>
  <si>
    <t xml:space="preserve"> 92793 </t>
  </si>
  <si>
    <t>CORTE E DOBRA DE AÇO CA-50, DIÂMETRO DE 8,0 MM, UTILIZADO EM ESTRUTURAS DIVERSAS, EXCETO LAJES. AF_12/2015</t>
  </si>
  <si>
    <t xml:space="preserve"> 5.12 </t>
  </si>
  <si>
    <t xml:space="preserve"> 92794 </t>
  </si>
  <si>
    <t>CORTE E DOBRA DE AÇO CA-50, DIÂMETRO DE 10,0 MM, UTILIZADO EM ESTRUTURAS DIVERSAS, EXCETO LAJES. AF_12/2015</t>
  </si>
  <si>
    <t xml:space="preserve"> 5.13 </t>
  </si>
  <si>
    <t xml:space="preserve"> 97092 </t>
  </si>
  <si>
    <t>ARMAÇÃO PARA EXECUÇÃO DE RADIER, PISO DE CONCRETO OU LAJE SOBRE SOLO, COM USO DE TELA Q-196. AF_09/2021</t>
  </si>
  <si>
    <t xml:space="preserve"> 5.14 </t>
  </si>
  <si>
    <t xml:space="preserve"> 97094 </t>
  </si>
  <si>
    <t>CONCRETAGEM DE RADIER, PISO OU LAJE SOBRE SOLO, FCK 30 MPA, PARA ESPESSURA DE 10 CM - LANÇAMENTO, ADENSAMENTO E ACABAMENTO. AF_09/2017</t>
  </si>
  <si>
    <t xml:space="preserve"> 5.15 </t>
  </si>
  <si>
    <t xml:space="preserve"> 94965 </t>
  </si>
  <si>
    <t>CONCRETO FCK = 25MPA, TRAÇO 1:2,3:2,7 (EM MASSA SECA DE CIMENTO/ AREIA MÉDIA/ BRITA 1) - PREPARO MECÂNICO COM BETONEIRA 400 L. AF_05/2021</t>
  </si>
  <si>
    <t xml:space="preserve"> 5.16 </t>
  </si>
  <si>
    <t xml:space="preserve"> 92873 </t>
  </si>
  <si>
    <t>LANÇAMENTO COM USO DE BALDES, ADENSAMENTO E ACABAMENTO DE CONCRETO EM ESTRUTURAS. AF_12/2015</t>
  </si>
  <si>
    <t xml:space="preserve"> 6 </t>
  </si>
  <si>
    <t xml:space="preserve"> 6.1 </t>
  </si>
  <si>
    <t xml:space="preserve"> 6.1.1 </t>
  </si>
  <si>
    <t xml:space="preserve"> 6.1.2 </t>
  </si>
  <si>
    <t>PAREDE E/OU DIVISÓRIA FORMADA POR PERFIS E MÓDULOS DE PVC QUE INTEGRAM O SISTEMA CONSTRUTIVO INOVADOR EM CONCORETO/PVC DE ACORDO COM AS DIRETRIZES SINAT 004/VER.01 - SINAT DO MINISTÉRIO DO DESENVOLVIMENTO REGIONAL, INCLUSIVE FORNECIMENTO DOS MÓDULOS (PERFIL), ACESSÓRIOS E MONTAGEM.</t>
  </si>
  <si>
    <t xml:space="preserve"> 6.1.3 </t>
  </si>
  <si>
    <t xml:space="preserve"> 6.1.4 </t>
  </si>
  <si>
    <t xml:space="preserve"> 6.1.5 </t>
  </si>
  <si>
    <t xml:space="preserve"> 102253 </t>
  </si>
  <si>
    <t>DIVISORIA SANITÁRIA, TIPO CABINE, EM GRANITO CINZA POLIDO, ESP = 3CM, ASSENTADO COM ARGAMASSA COLANTE AC III-E, EXCLUSIVE FERRAGENS. AF_01/2021</t>
  </si>
  <si>
    <t xml:space="preserve"> 6.1.6 </t>
  </si>
  <si>
    <t xml:space="preserve"> COMP-013 </t>
  </si>
  <si>
    <t>Bancada de Granito Cinza (Conforme projeto de arquitetura)</t>
  </si>
  <si>
    <t xml:space="preserve"> 6.2 </t>
  </si>
  <si>
    <t>EXTERNO (MUROS E OUTROS)</t>
  </si>
  <si>
    <t xml:space="preserve"> 6.2.1 </t>
  </si>
  <si>
    <t xml:space="preserve"> 103329 </t>
  </si>
  <si>
    <t>ALVENARIA DE VEDAÇÃO DE BLOCOS CERÂMICOS FURADOS NA HORIZONTAL DE 9X19X19 CM (ESPESSURA 9 CM) E ARGAMASSA DE ASSENTAMENTO COM PREPARO MANUAL. AF_12/2021</t>
  </si>
  <si>
    <t xml:space="preserve"> 6.2.2 </t>
  </si>
  <si>
    <t xml:space="preserve"> 6.2.3 </t>
  </si>
  <si>
    <t xml:space="preserve"> 101161 </t>
  </si>
  <si>
    <t>ALVENARIA DE VEDAÇÃO COM ELEMENTO VAZADO DE CONCRETO (COBOGÓ) DE 7X50X50CM E ARGAMASSA DE ASSENTAMENTO COM PREPARO EM BETONEIRA. AF_05/2020</t>
  </si>
  <si>
    <t xml:space="preserve"> 6.2.4 </t>
  </si>
  <si>
    <t xml:space="preserve"> 6.2.5 </t>
  </si>
  <si>
    <t xml:space="preserve"> 6.2.6 </t>
  </si>
  <si>
    <t xml:space="preserve"> 6.2.7 </t>
  </si>
  <si>
    <t xml:space="preserve"> 6.2.8 </t>
  </si>
  <si>
    <t xml:space="preserve"> 7 </t>
  </si>
  <si>
    <t xml:space="preserve"> 7.1 </t>
  </si>
  <si>
    <t xml:space="preserve"> 7.2 </t>
  </si>
  <si>
    <t xml:space="preserve"> 91341 </t>
  </si>
  <si>
    <t>PORTA EM ALUMÍNIO DE ABRIR TIPO VENEZIANA COM GUARNIÇÃO, FIXAÇÃO COM PARAFUSOS - FORNECIMENTO E INSTALAÇÃO. AF_12/2019</t>
  </si>
  <si>
    <t xml:space="preserve"> 7.3 </t>
  </si>
  <si>
    <t xml:space="preserve"> 100701 </t>
  </si>
  <si>
    <t>PORTA DE FERRO, DE ABRIR, TIPO GRADE COM CHAPA, COM GUARNIÇÕES. AF_12/2019</t>
  </si>
  <si>
    <t xml:space="preserve"> 7.4 </t>
  </si>
  <si>
    <t xml:space="preserve"> 100674 </t>
  </si>
  <si>
    <t>JANELA FIXA DE ALUMÍNIO PARA VIDRO, COM VIDRO, BATENTE E FERRAGENS. EXCLUSIVE ACABAMENTO, ALIZAR E CONTRAMARCO. FORNECIMENTO E INSTALAÇÃO. AF_12/2019</t>
  </si>
  <si>
    <t xml:space="preserve"> 7.5 </t>
  </si>
  <si>
    <t xml:space="preserve"> 94570 </t>
  </si>
  <si>
    <t>JANELA DE ALUMÍNIO DE CORRER COM 2 FOLHAS PARA VIDROS, COM VIDROS, BATENTE, ACABAMENTO COM ACETATO OU BRILHANTE E FERRAGENS. EXCLUSIVE ALIZAR E CONTRAMARCO. FORNECIMENTO E INSTALAÇÃO. AF_12/2019</t>
  </si>
  <si>
    <t xml:space="preserve"> 7.6 </t>
  </si>
  <si>
    <t xml:space="preserve"> COMP-015 </t>
  </si>
  <si>
    <t>BASCULANTE EM ALUMÍNIO, COR N/P/B, MOLDURA-VIDRO, TIPO CONVENCIONAL OU PIVOTANTE, EXCLUSIVE VIDRO.</t>
  </si>
  <si>
    <t xml:space="preserve"> 7.7 </t>
  </si>
  <si>
    <t xml:space="preserve"> 102166 </t>
  </si>
  <si>
    <t>INSTALAÇÃO DE VIDRO LISO INCOLOR, E = 6 MM, EM ESQUADRIA DE ALUMÍNIO OU PVC, FIXADO COM BAGUETE. AF_01/2021_P</t>
  </si>
  <si>
    <t xml:space="preserve"> 8 </t>
  </si>
  <si>
    <t>SISTEMAS DE COBERTURA</t>
  </si>
  <si>
    <t xml:space="preserve"> 8.1 </t>
  </si>
  <si>
    <t xml:space="preserve"> 8.2 </t>
  </si>
  <si>
    <t xml:space="preserve"> 92608 </t>
  </si>
  <si>
    <t>FABRICAÇÃO E INSTALAÇÃO DE TESOURA INTEIRA EM AÇO, VÃO DE 6 M, PARA TELHA ONDULADA DE FIBROCIMENTO, METÁLICA, PLÁSTICA OU TERMOACÚSTICA, INCLUSO IÇAMENTO. AF_12/2015</t>
  </si>
  <si>
    <t xml:space="preserve"> 8.3 </t>
  </si>
  <si>
    <t xml:space="preserve"> 8.4 </t>
  </si>
  <si>
    <t xml:space="preserve"> 92616 </t>
  </si>
  <si>
    <t>FABRICAÇÃO E INSTALAÇÃO DE TESOURA INTEIRA EM AÇO, VÃO DE 10 M, PARA TELHA ONDULADA DE FIBROCIMENTO, METÁLICA, PLÁSTICA OU TERMOACÚSTICA, INCLUSO IÇAMENTO. AF_12/2015</t>
  </si>
  <si>
    <t xml:space="preserve"> 8.5 </t>
  </si>
  <si>
    <t xml:space="preserve"> 8.6 </t>
  </si>
  <si>
    <t xml:space="preserve"> 92580 </t>
  </si>
  <si>
    <t>TRAMA DE AÇO COMPOSTA POR TERÇAS PARA TELHADOS DE ATÉ 2 ÁGUAS PARA TELHA ONDULADA DE FIBROCIMENTO, METÁLICA, PLÁSTICA OU TERMOACÚSTICA, INCLUSO TRANSPORTE VERTICAL. AF_07/2019</t>
  </si>
  <si>
    <t xml:space="preserve"> 8.7 </t>
  </si>
  <si>
    <t xml:space="preserve"> 94216 </t>
  </si>
  <si>
    <t>TELHAMENTO COM TELHA METÁLICA TERMOACÚSTICA E = 30 MM, COM ATÉ 2 ÁGUAS, INCLUSO IÇAMENTO. AF_07/2019</t>
  </si>
  <si>
    <t xml:space="preserve"> 8.8 </t>
  </si>
  <si>
    <t xml:space="preserve"> COMP-016 </t>
  </si>
  <si>
    <t>CUMEEIRA TERMOACÚSTICA</t>
  </si>
  <si>
    <t xml:space="preserve"> 8.9 </t>
  </si>
  <si>
    <t xml:space="preserve"> 94231 </t>
  </si>
  <si>
    <t>RUFO EM CHAPA DE AÇO GALVANIZADO NÚMERO 24, CORTE DE 25 CM, INCLUSO TRANSPORTE VERTICAL. AF_07/2019</t>
  </si>
  <si>
    <t xml:space="preserve"> 8.10 </t>
  </si>
  <si>
    <t xml:space="preserve"> 94229 </t>
  </si>
  <si>
    <t>CALHA EM CHAPA DE AÇO GALVANIZADO NÚMERO 24, DESENVOLVIMENTO DE 100 CM, INCLUSO TRANSPORTE VERTICAL. AF_07/2019</t>
  </si>
  <si>
    <t xml:space="preserve"> 8.11 </t>
  </si>
  <si>
    <t xml:space="preserve"> C4790 </t>
  </si>
  <si>
    <t>FORRO BOREAL MODULADO ESTRUTURADO (25X625X1250MM), COM PERFIL T LEVE EM AÇO BRANCO E TRATAMENTO TERMO-ACÚSTICO EM LÃ DE VIDRO, FECHAMENTO EM PELÍCULA DE PVC PERFURADO OU EQUIVALENTE - FORNECIMENTO E INSTALAÇÃO</t>
  </si>
  <si>
    <t xml:space="preserve"> 8.12 </t>
  </si>
  <si>
    <t xml:space="preserve"> 96111 </t>
  </si>
  <si>
    <t>FORRO EM RÉGUAS DE PVC, FRISADO, PARA AMBIENTES RESIDENCIAIS, INCLUSIVE ESTRUTURA DE FIXAÇÃO. AF_05/2017_P</t>
  </si>
  <si>
    <t xml:space="preserve"> 98554 </t>
  </si>
  <si>
    <t>IMPERMEABILIZAÇÃO DE SUPERFÍCIE COM MEMBRANA À BASE DE RESINA ACRÍLICA, 3 DEMÃOS. AF_06/2018</t>
  </si>
  <si>
    <t xml:space="preserve"> 9 </t>
  </si>
  <si>
    <t xml:space="preserve"> 9.1 </t>
  </si>
  <si>
    <t xml:space="preserve"> 87273 </t>
  </si>
  <si>
    <t>REVESTIMENTO CERÂMICO PARA PAREDES INTERNAS COM PLACAS TIPO ESMALTADA EXTRA DE DIMENSÕES 33X45 CM APLICADAS EM AMBIENTES DE ÁREA MAIOR QUE 5 M² NA ALTURA INTEIRA DAS PAREDES. AF_06/2014</t>
  </si>
  <si>
    <t xml:space="preserve"> 9.2 </t>
  </si>
  <si>
    <t xml:space="preserve"> C4442 </t>
  </si>
  <si>
    <t>CERÂMICA ESMALTADA C/ ARG. PRÉ-FABRICADA ATÉ 10x10cm (100cm²) - DECORATIVA - P/ PAREDE</t>
  </si>
  <si>
    <t xml:space="preserve"> 9.3 </t>
  </si>
  <si>
    <t xml:space="preserve"> C1126 </t>
  </si>
  <si>
    <t>REJUNTAMENTO C/ ARG. PRÉ-FABRICADA, JUNTA ENTRE 2mm E 6mm EM CERÂMICA, ATÉ 10x10 cm (100 cm²) - DECORATIVA (PAREDE/PISO)</t>
  </si>
  <si>
    <t xml:space="preserve"> 9.4 </t>
  </si>
  <si>
    <t xml:space="preserve"> 87894 </t>
  </si>
  <si>
    <t>CHAPISCO APLICADO EM ALVENARIA (SEM PRESENÇA DE VÃOS) E ESTRUTURAS DE CONCRETO DE FACHADA, COM COLHER DE PEDREIRO.  ARGAMASSA TRAÇO 1:3 COM PREPARO EM BETONEIRA 400L. AF_06/2014</t>
  </si>
  <si>
    <t xml:space="preserve"> 9.5 </t>
  </si>
  <si>
    <t xml:space="preserve"> 87794 </t>
  </si>
  <si>
    <t xml:space="preserve"> 9.6 </t>
  </si>
  <si>
    <t xml:space="preserve"> COMP-017 </t>
  </si>
  <si>
    <t>PLACA CIMENTÍCIA E=10MM, PARA FECHAMENTO DA FACHADA (1 LADO/FACE), JUNTAS APARENTES, FIXADA EM ESTRUTURA METÁLICA, (FORNECIMENTO E ASSENTAMENTO).</t>
  </si>
  <si>
    <t xml:space="preserve"> 9.7 </t>
  </si>
  <si>
    <t xml:space="preserve"> COMP-022 </t>
  </si>
  <si>
    <t xml:space="preserve"> 9.8 </t>
  </si>
  <si>
    <t xml:space="preserve"> 9.9 </t>
  </si>
  <si>
    <t xml:space="preserve"> 10 </t>
  </si>
  <si>
    <t xml:space="preserve"> 10.1 </t>
  </si>
  <si>
    <t xml:space="preserve"> 87622 </t>
  </si>
  <si>
    <t>CONTRAPISO EM ARGAMASSA TRAÇO 1:4 (CIMENTO E AREIA), PREPARO MANUAL, APLICADO EM ÁREAS SECAS SOBRE LAJE, ADERIDO, ACABAMENTO NÃO REFORÇADO, ESPESSURA 2CM. AF_07/2021</t>
  </si>
  <si>
    <t xml:space="preserve"> 10.2 </t>
  </si>
  <si>
    <t xml:space="preserve"> 87250 </t>
  </si>
  <si>
    <t>REVESTIMENTO CERÂMICO PARA PISO COM PLACAS TIPO ESMALTADA EXTRA DE DIMENSÕES 45X45 CM APLICADA EM AMBIENTES DE ÁREA ENTRE 5 M2 E 10 M2. AF_06/2014</t>
  </si>
  <si>
    <t xml:space="preserve"> 10.3 </t>
  </si>
  <si>
    <t xml:space="preserve"> C2286 </t>
  </si>
  <si>
    <t>SOLEIRA DE MARMORE L= 15cm</t>
  </si>
  <si>
    <t xml:space="preserve"> 10.4 </t>
  </si>
  <si>
    <t xml:space="preserve"> 94964 </t>
  </si>
  <si>
    <t>CONCRETO FCK = 20MPA, TRAÇO 1:2,7:3 (EM MASSA SECA DE CIMENTO/ AREIA MÉDIA/ BRITA 1) - PREPARO MECÂNICO COM BETONEIRA 400 L. AF_05/2021</t>
  </si>
  <si>
    <t xml:space="preserve"> 10.5 </t>
  </si>
  <si>
    <t xml:space="preserve"> 97097 </t>
  </si>
  <si>
    <t>ACABAMENTO POLIDO PARA PISO DE CONCRETO ARMADO OU LAJE SOBRE SOLO DE ALTA RESISTÊNCIA. AF_09/2021</t>
  </si>
  <si>
    <t xml:space="preserve"> 10.6 </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</si>
  <si>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</si>
  <si>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</si>
  <si>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10.7 </t>
  </si>
  <si>
    <t xml:space="preserve"> 92396 </t>
  </si>
  <si>
    <t>EXECUÇÃO DE PASSEIO EM PISO INTERTRAVADO, COM BLOCO RETANGULAR COR NATURAL DE 20 X 10 CM, ESPESSURA 6 CM. AF_12/2015</t>
  </si>
  <si>
    <t xml:space="preserve"> 10.8 </t>
  </si>
  <si>
    <t xml:space="preserve"> 11 </t>
  </si>
  <si>
    <t xml:space="preserve"> 11.1 </t>
  </si>
  <si>
    <t xml:space="preserve"> 88485 </t>
  </si>
  <si>
    <t>APLICAÇÃO DE FUNDO SELADOR ACRÍLICO EM PAREDES, UMA DEMÃO. AF_06/2014</t>
  </si>
  <si>
    <t xml:space="preserve"> 11.2 </t>
  </si>
  <si>
    <t xml:space="preserve"> 96135 </t>
  </si>
  <si>
    <t>APLICAÇÃO MANUAL DE MASSA ACRÍLICA EM PAREDES EXTERNAS DE CASAS, DUAS DEMÃOS. AF_05/2017</t>
  </si>
  <si>
    <t xml:space="preserve"> 11.3 </t>
  </si>
  <si>
    <t xml:space="preserve"> COMP-009 </t>
  </si>
  <si>
    <t>TEXTURA ACRÍLICA, APLICAÇÃO MANUAL EM PAREDE, DUAS DEMÃOS.</t>
  </si>
  <si>
    <t xml:space="preserve"> 11.4 </t>
  </si>
  <si>
    <t xml:space="preserve"> 88489 </t>
  </si>
  <si>
    <t>APLICAÇÃO MANUAL DE PINTURA COM TINTA LÁTEX ACRÍLICA EM PAREDES, DUAS DEMÃOS. AF_06/2014</t>
  </si>
  <si>
    <t xml:space="preserve"> 11.5 </t>
  </si>
  <si>
    <t xml:space="preserve"> 100722 </t>
  </si>
  <si>
    <t>PINTURA COM TINTA ALQUÍDICA DE FUNDO (TIPO ZARCÃO) APLICADA A ROLO OU PINCEL SOBRE SUPERFÍCIES METÁLICAS (EXCETO PERFIL) EXECUTADO EM OBRA (POR DEMÃO). AF_01/2020</t>
  </si>
  <si>
    <t xml:space="preserve"> 11.6 </t>
  </si>
  <si>
    <t xml:space="preserve"> 100760 </t>
  </si>
  <si>
    <t>PINTURA COM TINTA ALQUÍDICA DE ACABAMENTO (ESMALTE SINTÉTICO BRILHANTE) APLICADA A ROLO OU PINCEL SOBRE SUPERFÍCIES METÁLICAS (EXCETO PERFIL) EXECUTADO EM OBRA (02 DEMÃOS). AF_01/2020</t>
  </si>
  <si>
    <t xml:space="preserve"> 11.7 </t>
  </si>
  <si>
    <t xml:space="preserve"> 102220 </t>
  </si>
  <si>
    <t>PINTURA TINTA DE ACABAMENTO (PIGMENTADA) ESMALTE SINTÉTICO BRILHANTE EM MADEIRA, 2 DEMÃOS. AF_01/2021</t>
  </si>
  <si>
    <t xml:space="preserve"> 11.8 </t>
  </si>
  <si>
    <t xml:space="preserve"> 102491 </t>
  </si>
  <si>
    <t>PINTURA DE PISO COM TINTA ACRÍLICA, APLICAÇÃO MANUAL, 2 DEMÃOS, INCLUSO FUNDO PREPARADOR. AF_05/2021</t>
  </si>
  <si>
    <t xml:space="preserve"> 12 </t>
  </si>
  <si>
    <t>INSTALAÇÕES HIDRÁULICAS</t>
  </si>
  <si>
    <t xml:space="preserve"> 12.1 </t>
  </si>
  <si>
    <t xml:space="preserve"> 89957 </t>
  </si>
  <si>
    <t>PONTO DE CONSUMO TERMINAL DE ÁGUA FRIA (SUBRAMAL) COM TUBULAÇÃO DE PVC, DN 25 MM, INSTALADO EM RAMAL DE ÁGUA, INCLUSOS RASGO E CHUMBAMENTO EM ALVENARIA. AF_12/2014</t>
  </si>
  <si>
    <t xml:space="preserve"> 12.2 </t>
  </si>
  <si>
    <t xml:space="preserve"> 94498 </t>
  </si>
  <si>
    <t>REGISTRO DE GAVETA BRUTO, LATÃO, ROSCÁVEL, 2" - FORNECIMENTO E INSTALAÇÃO. AF_08/2021</t>
  </si>
  <si>
    <t xml:space="preserve"> 12.3 </t>
  </si>
  <si>
    <t xml:space="preserve"> 89353 </t>
  </si>
  <si>
    <t>REGISTRO DE GAVETA BRUTO, LATÃO, ROSCÁVEL, 3/4" - FORNECIMENTO E INSTALAÇÃO. AF_08/2021</t>
  </si>
  <si>
    <t xml:space="preserve"> 12.4 </t>
  </si>
  <si>
    <t xml:space="preserve"> 89447 </t>
  </si>
  <si>
    <t xml:space="preserve"> 12.5 </t>
  </si>
  <si>
    <t xml:space="preserve"> 89446 </t>
  </si>
  <si>
    <t xml:space="preserve"> 12.6 </t>
  </si>
  <si>
    <t xml:space="preserve"> 89449 </t>
  </si>
  <si>
    <t xml:space="preserve"> 12.7 </t>
  </si>
  <si>
    <t xml:space="preserve"> 12.8 </t>
  </si>
  <si>
    <t xml:space="preserve"> 102111 </t>
  </si>
  <si>
    <t>BOMBA CENTRÍFUGA, MONOFÁSICA, 0,5 CV OU 0,49 HP, HM 6 A 20 M, Q 1,2 A 8,3 M3/H - FORNECIMENTO E INSTALAÇÃO. AF_12/2020</t>
  </si>
  <si>
    <t xml:space="preserve"> 12.9 </t>
  </si>
  <si>
    <t xml:space="preserve"> 102137 </t>
  </si>
  <si>
    <t>CHAVE DE BOIA AUTOMÁTICA SUPERIOR/INFERIOR 15A/250V - FORNECIMENTO E INSTALAÇÃO. AF_12/2020</t>
  </si>
  <si>
    <t xml:space="preserve"> 13 </t>
  </si>
  <si>
    <t xml:space="preserve"> 13.1 </t>
  </si>
  <si>
    <t xml:space="preserve"> C1950 </t>
  </si>
  <si>
    <t>PONTO SANITÁRIO, MATERIAL E EXECUÇÃO</t>
  </si>
  <si>
    <t>PT</t>
  </si>
  <si>
    <t xml:space="preserve"> 13.2 </t>
  </si>
  <si>
    <t xml:space="preserve"> 89482 </t>
  </si>
  <si>
    <t xml:space="preserve"> 13.3 </t>
  </si>
  <si>
    <t xml:space="preserve"> 89714 </t>
  </si>
  <si>
    <t xml:space="preserve"> 13.4 </t>
  </si>
  <si>
    <t xml:space="preserve"> 13.5 </t>
  </si>
  <si>
    <t xml:space="preserve"> 89712 </t>
  </si>
  <si>
    <t xml:space="preserve"> 13.6 </t>
  </si>
  <si>
    <t xml:space="preserve"> 98110 </t>
  </si>
  <si>
    <t>CAIXA DE GORDURA PEQUENA (CAPACIDADE: 19 L), CIRCULAR, EM PVC, DIÂMETRO INTERNO= 0,3 M. AF_12/2020</t>
  </si>
  <si>
    <t xml:space="preserve"> 13.7 </t>
  </si>
  <si>
    <t xml:space="preserve"> 97902 </t>
  </si>
  <si>
    <t>CAIXA ENTERRADA HIDRÁULICA RETANGULAR EM ALVENARIA COM TIJOLOS CERÂMICOS MACIÇOS, DIMENSÕES INTERNAS: 0,6X0,6X0,6 M PARA REDE DE ESGOTO. AF_12/2020</t>
  </si>
  <si>
    <t xml:space="preserve"> 14 </t>
  </si>
  <si>
    <t xml:space="preserve"> 14.1 </t>
  </si>
  <si>
    <t xml:space="preserve"> 14.2 </t>
  </si>
  <si>
    <t xml:space="preserve"> 89580 </t>
  </si>
  <si>
    <t xml:space="preserve"> 14.3 </t>
  </si>
  <si>
    <t xml:space="preserve"> 89512 </t>
  </si>
  <si>
    <t xml:space="preserve"> 14.4 </t>
  </si>
  <si>
    <t xml:space="preserve"> 89531 </t>
  </si>
  <si>
    <t xml:space="preserve"> 14.5 </t>
  </si>
  <si>
    <t xml:space="preserve"> 96995 </t>
  </si>
  <si>
    <t>REATERRO MANUAL APILOADO COM SOQUETE. AF_10/2017</t>
  </si>
  <si>
    <t xml:space="preserve"> 14.6 </t>
  </si>
  <si>
    <t xml:space="preserve"> 99253 </t>
  </si>
  <si>
    <t>CAIXA ENTERRADA HIDRÁULICA RETANGULAR EM ALVENARIA COM TIJOLOS CERÂMICOS MACIÇOS, DIMENSÕES INTERNAS: 0,6X0,6X0,6 M PARA REDE DE DRENAGEM. AF_12/2020</t>
  </si>
  <si>
    <t xml:space="preserve"> 15 </t>
  </si>
  <si>
    <t xml:space="preserve"> 15.1 </t>
  </si>
  <si>
    <t xml:space="preserve"> C4635 </t>
  </si>
  <si>
    <t>BACIA SANITÁRIA PARA CADEIRANTES C/ ASSENTO (ABERTURA FRONTAL)</t>
  </si>
  <si>
    <t xml:space="preserve"> 15.2 </t>
  </si>
  <si>
    <t xml:space="preserve"> 86931 </t>
  </si>
  <si>
    <t>VASO SANITÁRIO SIFONADO COM CAIXA ACOPLADA LOUÇA BRANCA, INCLUSO ENGATE FLEXÍVEL EM PLÁSTICO BRANCO, 1/2  X 40CM - FORNECIMENTO E INSTALAÇÃO. AF_01/2020</t>
  </si>
  <si>
    <t xml:space="preserve"> 15.3 </t>
  </si>
  <si>
    <t xml:space="preserve"> 100848 </t>
  </si>
  <si>
    <t>VASO SANITÁRIO INFANTIL LOUÇA BRANCA - FORNECIMENTO E INSTALACAO. AF_01/2020</t>
  </si>
  <si>
    <t xml:space="preserve"> 15.4 </t>
  </si>
  <si>
    <t xml:space="preserve"> 86904 </t>
  </si>
  <si>
    <t>LAVATÓRIO LOUÇA BRANCA SUSPENSO, 29,5 X 39CM OU EQUIVALENTE, PADRÃO POPULAR - FORNECIMENTO E INSTALAÇÃO. AF_01/2020</t>
  </si>
  <si>
    <t xml:space="preserve"> 15.5 </t>
  </si>
  <si>
    <t xml:space="preserve"> 86939 </t>
  </si>
  <si>
    <t>LAVATÓRIO LOUÇA BRANCA COM COLUNA, *44 X 35,5* CM, PADRÃO POPULAR, INCLUSO SIFÃO FLEXÍVEL EM PVC, VÁLVULA E ENGATE FLEXÍVEL 30CM EM PLÁSTICO E COM TORNEIRA CROMADA PADRÃO POPULAR - FORNECIMENTO E INSTALAÇÃO. AF_01/2020</t>
  </si>
  <si>
    <t xml:space="preserve"> 15.6 </t>
  </si>
  <si>
    <t xml:space="preserve"> 86901 </t>
  </si>
  <si>
    <t>CUBA DE EMBUTIR OVAL EM LOUÇA BRANCA, 35 X 50CM OU EQUIVALENTE - FORNECIMENTO E INSTALAÇÃO. AF_01/2020</t>
  </si>
  <si>
    <t xml:space="preserve"> 15.7 </t>
  </si>
  <si>
    <t xml:space="preserve"> 86915 </t>
  </si>
  <si>
    <t>TORNEIRA CROMADA DE MESA, 1/2 OU 3/4, PARA LAVATÓRIO, PADRÃO MÉDIO - FORNECIMENTO E INSTALAÇÃO. AF_01/2020</t>
  </si>
  <si>
    <t xml:space="preserve"> 15.8 </t>
  </si>
  <si>
    <t xml:space="preserve"> 95544 </t>
  </si>
  <si>
    <t>PAPELEIRA DE PAREDE EM METAL CROMADO SEM TAMPA, INCLUSO FIXAÇÃO. AF_01/2020</t>
  </si>
  <si>
    <t xml:space="preserve"> 15.9 </t>
  </si>
  <si>
    <t xml:space="preserve"> 100868 </t>
  </si>
  <si>
    <t>BARRA DE APOIO RETA, EM ACO INOX POLIDO, COMPRIMENTO 80 CM,  FIXADA NA PAREDE - FORNECIMENTO E INSTALAÇÃO. AF_01/2020</t>
  </si>
  <si>
    <t xml:space="preserve"> 15.10 </t>
  </si>
  <si>
    <t xml:space="preserve"> 100866 </t>
  </si>
  <si>
    <t>BARRA DE APOIO RETA, EM ACO INOX POLIDO, COMPRIMENTO 60CM, FIXADA NA PAREDE - FORNECIMENTO E INSTALAÇÃO. AF_01/2020</t>
  </si>
  <si>
    <t xml:space="preserve"> 15.11 </t>
  </si>
  <si>
    <t xml:space="preserve"> COMP-018 </t>
  </si>
  <si>
    <t>DISPENSER PARA TOALHAS INTERFOLHADAS</t>
  </si>
  <si>
    <t xml:space="preserve"> 15.12 </t>
  </si>
  <si>
    <t xml:space="preserve"> 86872 </t>
  </si>
  <si>
    <t>TANQUE DE LOUÇA BRANCA COM COLUNA, 30L OU EQUIVALENTE - FORNECIMENTO E INSTALAÇÃO. AF_01/2020</t>
  </si>
  <si>
    <t xml:space="preserve"> 15.13 </t>
  </si>
  <si>
    <t xml:space="preserve"> 86910 </t>
  </si>
  <si>
    <t xml:space="preserve"> 15.14 </t>
  </si>
  <si>
    <t xml:space="preserve"> 86900 </t>
  </si>
  <si>
    <t>CUBA DE EMBUTIR RETANGULAR DE AÇO INOXIDÁVEL, 46 X 30 X 12 CM - FORNECIMENTO E INSTALAÇÃO. AF_01/2020</t>
  </si>
  <si>
    <t xml:space="preserve"> 15.15 </t>
  </si>
  <si>
    <t xml:space="preserve"> 86913 </t>
  </si>
  <si>
    <t>TORNEIRA CROMADA 1/2 OU 3/4 PARA TANQUE, PADRÃO POPULAR - FORNECIMENTO E INSTALAÇÃO. AF_01/2020</t>
  </si>
  <si>
    <t xml:space="preserve"> 15.16 </t>
  </si>
  <si>
    <t>TORNEIRA DE METAL AMARELO 3/4" PARA JARDIM, PADRÃO POPULAR - FORNECIMENTO E INSTALAÇÃO</t>
  </si>
  <si>
    <t xml:space="preserve"> 15.17 </t>
  </si>
  <si>
    <t xml:space="preserve"> 100860 </t>
  </si>
  <si>
    <t>CHUVEIRO ELÉTRICO COMUM CORPO PLÁSTICO, TIPO DUCHA  FORNECIMENTO E INSTALAÇÃO. AF_01/2020</t>
  </si>
  <si>
    <t xml:space="preserve"> 15.18 </t>
  </si>
  <si>
    <t xml:space="preserve"> 16 </t>
  </si>
  <si>
    <t xml:space="preserve"> 16.1 </t>
  </si>
  <si>
    <t xml:space="preserve"> 83397 </t>
  </si>
  <si>
    <t>POSTE DE CONCRETO DUPLO T H=9M CARGA NOMINAL 500KG INCLUSIVE ESCAVACAO, EXCLUSIVE TRANSPORTE - FORNECIMENTO E INSTALACAO</t>
  </si>
  <si>
    <t xml:space="preserve"> 16.2 </t>
  </si>
  <si>
    <t xml:space="preserve"> 101506 </t>
  </si>
  <si>
    <t>ENTRADA DE ENERGIA ELÉTRICA, AÉREA, TRIFÁSICA, COM CAIXA DE SOBREPOR, CABO DE 16 MM2 E DISJUNTOR DIN 50A (NÃO INCLUSO O POSTE DE CONCRETO). AF_07/2020_P</t>
  </si>
  <si>
    <t xml:space="preserve"> 16.3 </t>
  </si>
  <si>
    <t xml:space="preserve"> C4940 </t>
  </si>
  <si>
    <t>SUBESTAÇÃO AÉREA DE 112,5 KVA/13.800-380/220V COM QUADRO DE MEDIÇÃO E PROTEÇÃO GERAL, INCLUSIVE MALHA DE ATERRAMENTO</t>
  </si>
  <si>
    <t xml:space="preserve"> 16.4 </t>
  </si>
  <si>
    <t>QUADRO DE DISTRIBUIÇÃO DE ENERGIA EM PVC, DE EMBUTIR, COM BARRAMENTO, PARA 6 DIJUNTORES - FORNECIMENTO E INSTALAÇÃO.</t>
  </si>
  <si>
    <t xml:space="preserve"> 16.5 </t>
  </si>
  <si>
    <t xml:space="preserve"> 101890 </t>
  </si>
  <si>
    <t>DISJUNTOR MONOPOLAR TIPO NEMA, CORRENTE NOMINAL DE 10 ATÉ 30A - FORNECIMENTO E INSTALAÇÃO. AF_10/2020</t>
  </si>
  <si>
    <t xml:space="preserve"> 16.6 </t>
  </si>
  <si>
    <t xml:space="preserve"> 93673 </t>
  </si>
  <si>
    <t>DISJUNTOR TRIPOLAR TIPO DIN, CORRENTE NOMINAL DE 50A - FORNECIMENTO E INSTALAÇÃO. AF_10/2020</t>
  </si>
  <si>
    <t xml:space="preserve"> 16.7 </t>
  </si>
  <si>
    <t xml:space="preserve"> 93671 </t>
  </si>
  <si>
    <t>DISJUNTOR TRIPOLAR TIPO DIN, CORRENTE NOMINAL DE 32A - FORNECIMENTO E INSTALAÇÃO. AF_10/2020</t>
  </si>
  <si>
    <t xml:space="preserve"> 16.8 </t>
  </si>
  <si>
    <t xml:space="preserve"> 91834 </t>
  </si>
  <si>
    <t>ELETRODUTO FLEXÍVEL CORRUGADO, PVC, DN 25 MM (3/4"), PARA CIRCUITOS TERMINAIS, INSTALADO EM FORRO - FORNECIMENTO E INSTALAÇÃO. AF_12/2015</t>
  </si>
  <si>
    <t xml:space="preserve"> 16.9 </t>
  </si>
  <si>
    <t xml:space="preserve"> 91854 </t>
  </si>
  <si>
    <t>ELETRODUTO FLEXÍVEL CORRUGADO, PVC, DN 25 MM (3/4"), PARA CIRCUITOS TERMINAIS, INSTALADO EM PAREDE - FORNECIMENTO E INSTALAÇÃO. AF_12/2015</t>
  </si>
  <si>
    <t xml:space="preserve"> 16.10 </t>
  </si>
  <si>
    <t xml:space="preserve"> 91856 </t>
  </si>
  <si>
    <t>ELETRODUTO FLEXÍVEL CORRUGADO, PVC, DN 32 MM (1"), PARA CIRCUITOS TERMINAIS, INSTALADO EM PAREDE - FORNECIMENTO E INSTALAÇÃO. AF_12/2015</t>
  </si>
  <si>
    <t xml:space="preserve"> 16.11 </t>
  </si>
  <si>
    <t xml:space="preserve"> 91864 </t>
  </si>
  <si>
    <t>ELETRODUTO RÍGIDO ROSCÁVEL, PVC, DN 32 MM (1"), PARA CIRCUITOS TERMINAIS, INSTALADO EM FORRO - FORNECIMENTO E INSTALAÇÃO. AF_12/2015</t>
  </si>
  <si>
    <t xml:space="preserve"> 16.12 </t>
  </si>
  <si>
    <t xml:space="preserve"> 91872 </t>
  </si>
  <si>
    <t>ELETRODUTO RÍGIDO ROSCÁVEL, PVC, DN 32 MM (1"), PARA CIRCUITOS TERMINAIS, INSTALADO EM PAREDE - FORNECIMENTO E INSTALAÇÃO. AF_12/2015</t>
  </si>
  <si>
    <t xml:space="preserve"> 16.13 </t>
  </si>
  <si>
    <t xml:space="preserve"> 93009 </t>
  </si>
  <si>
    <t>ELETRODUTO RÍGIDO ROSCÁVEL, PVC, DN 60 MM (2"), PARA REDE ENTERRADA DE DISTRIBUIÇÃO DE ENERGIA ELÉTRICA - FORNECIMENTO E INSTALAÇÃO. AF_12/2021</t>
  </si>
  <si>
    <t xml:space="preserve"> 16.14 </t>
  </si>
  <si>
    <t xml:space="preserve"> 83446 </t>
  </si>
  <si>
    <t>CAIXA DE PASSAGEM 30X30X40 COM TAMPA E DRENO BRITA</t>
  </si>
  <si>
    <t xml:space="preserve"> 16.15 </t>
  </si>
  <si>
    <t xml:space="preserve"> 91926 </t>
  </si>
  <si>
    <t>CABO DE COBRE FLEXÍVEL ISOLADO, 2,5 MM², ANTI-CHAMA 450/750 V, PARA CIRCUITOS TERMINAIS - FORNECIMENTO E INSTALAÇÃO. AF_12/2015</t>
  </si>
  <si>
    <t xml:space="preserve"> 16.16 </t>
  </si>
  <si>
    <t xml:space="preserve"> 91928 </t>
  </si>
  <si>
    <t>CABO DE COBRE FLEXÍVEL ISOLADO, 4 MM², ANTI-CHAMA 450/750 V, PARA CIRCUITOS TERMINAIS - FORNECIMENTO E INSTALAÇÃO. AF_12/2015</t>
  </si>
  <si>
    <t xml:space="preserve"> 16.17 </t>
  </si>
  <si>
    <t xml:space="preserve"> 91932 </t>
  </si>
  <si>
    <t>CABO DE COBRE FLEXÍVEL ISOLADO, 10 MM², ANTI-CHAMA 450/750 V, PARA CIRCUITOS TERMINAIS - FORNECIMENTO E INSTALAÇÃO. AF_12/2015</t>
  </si>
  <si>
    <t xml:space="preserve"> 16.18 </t>
  </si>
  <si>
    <t xml:space="preserve"> 91935 </t>
  </si>
  <si>
    <t>CABO DE COBRE FLEXÍVEL ISOLADO, 16 MM², ANTI-CHAMA 0,6/1,0 KV, PARA CIRCUITOS TERMINAIS - FORNECIMENTO E INSTALAÇÃO. AF_12/2015</t>
  </si>
  <si>
    <t xml:space="preserve"> 16.19 </t>
  </si>
  <si>
    <t xml:space="preserve"> 91991 </t>
  </si>
  <si>
    <t>TOMADA ALTA DE EMBUTIR (1 MÓDULO), 2P+T 20 A, SEM SUPORTE E SEM PLACA - FORNECIMENTO E INSTALAÇÃO. AF_12/2015</t>
  </si>
  <si>
    <t xml:space="preserve"> 16.20 </t>
  </si>
  <si>
    <t xml:space="preserve"> 91997 </t>
  </si>
  <si>
    <t>TOMADA MÉDIA DE EMBUTIR (1 MÓDULO), 2P+T 20 A, INCLUINDO SUPORTE E PLACA - FORNECIMENTO E INSTALAÇÃO. AF_12/2015</t>
  </si>
  <si>
    <t xml:space="preserve"> 16.21 </t>
  </si>
  <si>
    <t xml:space="preserve"> 91998 </t>
  </si>
  <si>
    <t>TOMADA BAIXA DE EMBUTIR (1 MÓDULO), 2P+T 10 A, SEM SUPORTE E SEM PLACA - FORNECIMENTO E INSTALAÇÃO. AF_12/2015</t>
  </si>
  <si>
    <t xml:space="preserve"> 16.22 </t>
  </si>
  <si>
    <t xml:space="preserve"> 91957 </t>
  </si>
  <si>
    <t>INTERRUPTOR SIMPLES (1 MÓDULO) COM INTERRUPTOR PARALELO (1 MÓDULO), 10A/250V, INCLUINDO SUPORTE E PLACA - FORNECIMENTO E INSTALAÇÃO. AF_12/2015</t>
  </si>
  <si>
    <t xml:space="preserve"> 16.23 </t>
  </si>
  <si>
    <t xml:space="preserve"> 91959 </t>
  </si>
  <si>
    <t>INTERRUPTOR SIMPLES (2 MÓDULOS), 10A/250V, INCLUINDO SUPORTE E PLACA - FORNECIMENTO E INSTALAÇÃO. AF_12/2015</t>
  </si>
  <si>
    <t xml:space="preserve"> 16.24 </t>
  </si>
  <si>
    <t xml:space="preserve"> 91967 </t>
  </si>
  <si>
    <t>INTERRUPTOR SIMPLES (3 MÓDULOS), 10A/250V, INCLUINDO SUPORTE E PLACA - FORNECIMENTO E INSTALAÇÃO. AF_12/2015</t>
  </si>
  <si>
    <t xml:space="preserve"> 16.25 </t>
  </si>
  <si>
    <t xml:space="preserve"> C4105 </t>
  </si>
  <si>
    <t>ARANDELA PARA FLUORESCENTE COMPACTA 18W EM ALUMÍNIO ANODIZADO E PINTADO POR PROCESSO ELETROSTÁTICO COM UM VISOR EM VIDRO FOSCO</t>
  </si>
  <si>
    <t xml:space="preserve"> 16.26 </t>
  </si>
  <si>
    <t xml:space="preserve"> 97585 </t>
  </si>
  <si>
    <t>LUMINÁRIA TIPO CALHA, DE SOBREPOR, COM 2 LÂMPADAS TUBULARES FLUORESCENTES DE 18 W, COM REATOR DE PARTIDA RÁPIDA - FORNECIMENTO E INSTALAÇÃO. AF_02/2020</t>
  </si>
  <si>
    <t xml:space="preserve"> 16.27 </t>
  </si>
  <si>
    <t xml:space="preserve"> 97601 </t>
  </si>
  <si>
    <t>REFLETOR EM ALUMÍNIO, DE SUPORTE E ALÇA, COM LÂMPADA VAPOR DE MERCÚRIO DE 250 W, COM REATOR ALTO FATOR DE POTÊNCIA - FORNECIMENTO E INSTALAÇÃO. AF_02/2020</t>
  </si>
  <si>
    <t xml:space="preserve"> 17 </t>
  </si>
  <si>
    <t xml:space="preserve"> 17.1 </t>
  </si>
  <si>
    <t xml:space="preserve"> C4208 </t>
  </si>
  <si>
    <t>PÁRA-RAIO TIPO FRANKLIN C/ SINALIZADOR (FORNECIMENTO E MONTAGEM)</t>
  </si>
  <si>
    <t xml:space="preserve"> 17.2 </t>
  </si>
  <si>
    <t xml:space="preserve"> 12878 </t>
  </si>
  <si>
    <t xml:space="preserve"> 17.3 </t>
  </si>
  <si>
    <t xml:space="preserve"> 9900 </t>
  </si>
  <si>
    <t xml:space="preserve"> 17.4 </t>
  </si>
  <si>
    <t xml:space="preserve"> 72263 </t>
  </si>
  <si>
    <t>TERMINAL OU CONECTOR DE PRESSAO - PARA CABO 50MM2 - FORNECIMENTO E INSTALACAO</t>
  </si>
  <si>
    <t xml:space="preserve"> 17.5 </t>
  </si>
  <si>
    <t xml:space="preserve"> 96985 </t>
  </si>
  <si>
    <t>HASTE DE ATERRAMENTO 5/8  PARA SPDA - FORNECIMENTO E INSTALAÇÃO. AF_12/2017</t>
  </si>
  <si>
    <t xml:space="preserve"> 17.6 </t>
  </si>
  <si>
    <t xml:space="preserve"> 96973 </t>
  </si>
  <si>
    <t>CORDOALHA DE COBRE NU 35 MM², NÃO ENTERRADA, COM ISOLADOR - FORNECIMENTO E INSTALAÇÃO. AF_12/2017</t>
  </si>
  <si>
    <t xml:space="preserve"> 17.7 </t>
  </si>
  <si>
    <t xml:space="preserve"> 96974 </t>
  </si>
  <si>
    <t>CORDOALHA DE COBRE NU 50 MM², NÃO ENTERRADA, COM ISOLADOR - FORNECIMENTO E INSTALAÇÃO. AF_12/2017</t>
  </si>
  <si>
    <t xml:space="preserve"> 17.8 </t>
  </si>
  <si>
    <t xml:space="preserve"> COMP-019 </t>
  </si>
  <si>
    <t>CAIXA DE INSPEÇÃO EM PVC - 300MM.</t>
  </si>
  <si>
    <t xml:space="preserve"> 17.9 </t>
  </si>
  <si>
    <t xml:space="preserve"> 98463 </t>
  </si>
  <si>
    <t>SUPORTE ISOLADOR PARA CORDOALHA DE COBRE - FORNECIMENTO E INSTALAÇÃO. AF_12/2017</t>
  </si>
  <si>
    <t xml:space="preserve"> 18 </t>
  </si>
  <si>
    <t xml:space="preserve"> 18.1 </t>
  </si>
  <si>
    <t xml:space="preserve"> COMP-020 </t>
  </si>
  <si>
    <t>CONJUNTO DE MASTRO P/ TRÊS BANDEIRAS E PEDESTAL</t>
  </si>
  <si>
    <t xml:space="preserve"> 18.2 </t>
  </si>
  <si>
    <t xml:space="preserve"> 98505 </t>
  </si>
  <si>
    <t>PLANTIO DE FORRAÇÃO. AF_05/2018</t>
  </si>
  <si>
    <t xml:space="preserve"> 18.3 </t>
  </si>
  <si>
    <t xml:space="preserve"> 98510 </t>
  </si>
  <si>
    <t>PLANTIO DE ÁRVORE ORNAMENTAL COM ALTURA DE MUDA MENOR OU IGUAL A 2,00 M. AF_05/2018</t>
  </si>
  <si>
    <t xml:space="preserve"> 18.4 </t>
  </si>
  <si>
    <t xml:space="preserve"> 103246 </t>
  </si>
  <si>
    <t>AR CONDICIONADO SPLIT ON/OFF, HI-WALL (PAREDE), 9000 BTUS/H, CICLO QUENTE/FRIO - FORNECIMENTO E INSTALAÇÃO. AF_11/2021_P</t>
  </si>
  <si>
    <t xml:space="preserve"> 18.5 </t>
  </si>
  <si>
    <t xml:space="preserve"> COMP-011 </t>
  </si>
  <si>
    <t xml:space="preserve"> 19 </t>
  </si>
  <si>
    <t xml:space="preserve"> 19.1 </t>
  </si>
  <si>
    <t xml:space="preserve"> 2450 </t>
  </si>
  <si>
    <t>Limpeza geral</t>
  </si>
  <si>
    <r>
      <t xml:space="preserve">Obra: </t>
    </r>
    <r>
      <rPr>
        <sz val="10"/>
        <rFont val="Arial"/>
        <family val="2"/>
      </rPr>
      <t>CONSTRUÇÃO DE UMA CRECHE</t>
    </r>
    <r>
      <rPr>
        <b/>
        <sz val="10"/>
        <rFont val="Arial"/>
        <family val="2"/>
      </rPr>
      <t>, (CONCRETO/PVC - MODELO CONSTRUTIVO EM SÉRIE)</t>
    </r>
  </si>
  <si>
    <r>
      <t xml:space="preserve">Município: </t>
    </r>
    <r>
      <rPr>
        <sz val="10"/>
        <rFont val="Arial"/>
        <family val="2"/>
      </rPr>
      <t>Toritama - PERNAMBUCO</t>
    </r>
  </si>
  <si>
    <r>
      <rPr>
        <b/>
        <sz val="10"/>
        <color theme="1"/>
        <rFont val="Arial"/>
        <family val="2"/>
      </rPr>
      <t>BDI DESONERADO:</t>
    </r>
    <r>
      <rPr>
        <sz val="10"/>
        <color theme="1"/>
        <rFont val="Arial"/>
        <family val="2"/>
      </rPr>
      <t xml:space="preserve"> 26,68%</t>
    </r>
  </si>
  <si>
    <r>
      <rPr>
        <b/>
        <sz val="10"/>
        <color theme="1"/>
        <rFont val="Arial"/>
        <family val="2"/>
      </rPr>
      <t>ENCARGOS SOCIAIS DE REFERENCIA:</t>
    </r>
    <r>
      <rPr>
        <sz val="10"/>
        <color theme="1"/>
        <rFont val="Arial"/>
        <family val="2"/>
      </rPr>
      <t xml:space="preserve"> 84,57% (HORA) 46,61% (MÊS)</t>
    </r>
  </si>
  <si>
    <t>Valor Unit</t>
  </si>
  <si>
    <t>Composição</t>
  </si>
  <si>
    <t>Composição Auxiliar</t>
  </si>
  <si>
    <t xml:space="preserve"> 90778 </t>
  </si>
  <si>
    <t>ENGENHEIRO CIVIL DE OBRA PLENO COM ENCARGOS COMPLEMENTARES</t>
  </si>
  <si>
    <t>MES</t>
  </si>
  <si>
    <t>Valor do BDI =&gt;</t>
  </si>
  <si>
    <t>Valor com BDI =&gt;</t>
  </si>
  <si>
    <t xml:space="preserve"> 88262 </t>
  </si>
  <si>
    <t xml:space="preserve"> 88316 </t>
  </si>
  <si>
    <t xml:space="preserve"> 94962 </t>
  </si>
  <si>
    <t>CONCRETO MAGRO PARA LASTRO, TRAÇO 1:4,5:4,5 (EM MASSA SECA DE CIMENTO/ AREIA MÉDIA/ BRITA 1) - PREPARO MECÂNICO COM BETONEIRA 400 L. AF_05/2021</t>
  </si>
  <si>
    <t>Insumo</t>
  </si>
  <si>
    <t xml:space="preserve"> 00004417 </t>
  </si>
  <si>
    <t>SARRAFO NAO APARELHADO *2,5 X 7* CM, EM MACARANDUBA, ANGELIM OU EQUIVALENTE DA REGIAO -  BRUTA</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</si>
  <si>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</si>
  <si>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</si>
  <si>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</si>
  <si>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</si>
  <si>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00005075 </t>
  </si>
  <si>
    <t>PREGO DE ACO POLIDO COM CABECA 18 X 30 (2 3/4 X 10)</t>
  </si>
  <si>
    <t xml:space="preserve"> 00013393 </t>
  </si>
  <si>
    <t>QUADRO DE DISTRIBUICAO COM BARRAMENTO TRIFASICO, DE EMBUTIR, EM CHAPA DE ACO GALVANIZADO, PARA 12 DISJUNTORES DIN, 100 A</t>
  </si>
  <si>
    <t xml:space="preserve"> 00041199 </t>
  </si>
  <si>
    <t>POSTE DE CONCRETO ARMADO DE SECAO DUPLO T, EXTENSAO DE 10,00 M, RESISTENCIA DE 150 DAN, TIPO D</t>
  </si>
  <si>
    <t xml:space="preserve"> 00034714 </t>
  </si>
  <si>
    <t>DISJUNTOR TIPO DIN/IEC, TRIPOLAR 63 A</t>
  </si>
  <si>
    <t xml:space="preserve"> 00011991 </t>
  </si>
  <si>
    <t>HASTE DE ATERRAMENTO EM ACO GALVANIZADO TIPO CANTONEIRA COM 2,00 M DE COMPRIMENTO, 25 X 25 MM E CHAPA DE 3/16"</t>
  </si>
  <si>
    <t xml:space="preserve"> 00001899 </t>
  </si>
  <si>
    <t>LUVA DE PRESSAO, EM PVC, DE 25 MM, PARA ELETRODUTO FLEXIVEL</t>
  </si>
  <si>
    <t xml:space="preserve"> 00002685 </t>
  </si>
  <si>
    <t>ELETRODUTO DE PVC RIGIDO ROSCAVEL DE 1 ", SEM LUVA</t>
  </si>
  <si>
    <t xml:space="preserve"> 00001880 </t>
  </si>
  <si>
    <t>CURVA 135 GRAUS, DE PVC RIGIDO ROSCAVEL, DE 1", PARA ELETRODUTO</t>
  </si>
  <si>
    <t xml:space="preserve"> 00011856 </t>
  </si>
  <si>
    <t>CONECTOR METALICO TIPO PARAFUSO FENDIDO (SPLIT BOLT), PARA CABOS ATE 10 MM2</t>
  </si>
  <si>
    <t xml:space="preserve"> 00000980 </t>
  </si>
  <si>
    <t>CABO DE COBRE, FLEXIVEL, CLASSE 4 OU 5, ISOLACAO EM PVC/A, ANTICHAMA BWF-B, 1 CONDUTOR, 450/750 V, SECAO NOMINAL 10 MM2</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</si>
  <si>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</si>
  <si>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</si>
  <si>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</si>
  <si>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</si>
  <si>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</si>
  <si>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</si>
  <si>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</si>
  <si>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</si>
  <si>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00006081 </t>
  </si>
  <si>
    <t>ARGILA OU BARRO PARA ATERRO/REATERRO (COM TRANSPORTE ATE 10 KM)</t>
  </si>
  <si>
    <t xml:space="preserve"> 88309 </t>
  </si>
  <si>
    <t xml:space="preserve"> 00000370 </t>
  </si>
  <si>
    <t>AREIA MEDIA - POSTO JAZIDA/FORNECEDOR (RETIRADO NA JAZIDA, SEM TRANSPORTE)</t>
  </si>
  <si>
    <t xml:space="preserve"> 00001379 </t>
  </si>
  <si>
    <t>CIMENTO PORTLAND COMPOSTO CP II-32</t>
  </si>
  <si>
    <t xml:space="preserve"> 00007271 </t>
  </si>
  <si>
    <t>BLOCO CERAMICO / TIJOLO VAZADO PARA ALVENARIA DE VEDACAO, 8 FUROS NA HORIZONTAL, DE 9 X 19 X 19 CM (L XA X C)</t>
  </si>
  <si>
    <t xml:space="preserve"> 88239 </t>
  </si>
  <si>
    <t xml:space="preserve"> 00010749 </t>
  </si>
  <si>
    <t>LOCACAO DE ESCORA METALICA TELESCOPICA, COM ALTURA REGULAVEL DE *1,80* A *3,20* M, COM CAPACIDADE DE CARGA DE NO MINIMO 1000 KGF (10 KN), INCLUSO TRIPE E FORCADO</t>
  </si>
  <si>
    <t xml:space="preserve"> COTAÇÃO </t>
  </si>
  <si>
    <t xml:space="preserve"> 00010527 </t>
  </si>
  <si>
    <t>MXMES</t>
  </si>
  <si>
    <t xml:space="preserve"> 00000367 </t>
  </si>
  <si>
    <t>AREIA GROSSA - POSTO JAZIDA/FORNECEDOR (RETIRADO NA JAZIDA, SEM TRANSPORTE)</t>
  </si>
  <si>
    <t xml:space="preserve"> 00011795 </t>
  </si>
  <si>
    <t>GRANITO PARA BANCADA, POLIDO, TIPO ANDORINHA/ QUARTZ/ CASTELO/ CORUMBA OU OUTROS EQUIVALENTES DA REGIAO, E=  *2,5* CM</t>
  </si>
  <si>
    <t xml:space="preserve"> 88273 </t>
  </si>
  <si>
    <t>MARCENEIRO COM ENCARGOS COMPLEMENTARES</t>
  </si>
  <si>
    <t xml:space="preserve"> 72118 </t>
  </si>
  <si>
    <t>VIDRO TEMPERADO INCOLOR, ESPESSURA 6MM, FORNECIMENTO E INSTALACAO, INCLUSIVE MASSA PARA VEDACAO</t>
  </si>
  <si>
    <t xml:space="preserve"> 100659 </t>
  </si>
  <si>
    <t xml:space="preserve"> 00010556 </t>
  </si>
  <si>
    <t>PORTA DE MADEIRA, FOLHA MEDIA (NBR 15930) DE 900 X 2100 MM, DE 35 MM A 40 MM DE ESPESSURA, NUCLEO SEMI-SOLIDO (SARRAFEADO), CAPA LISA EM HDF, ACABAMENTO EM PRIMER PARA PINTURA</t>
  </si>
  <si>
    <t xml:space="preserve"> 00000183 </t>
  </si>
  <si>
    <t>BATENTE / PORTAL / ADUELA / MARCO EM MADEIRA MACICA COM REBAIXO, E = *3* CM, L = *14* CM, PARA PORTAS DE  GIRO DE *60 CM A 120* CM  X *210* CM, CEDRINHO / ANGELIM COMERCIAL / TAURI / CURUPIXA / PEROBA / CUMARU OU EQUIVALENTE DA REGIAO (NAO INCLUI ALIZARES)</t>
  </si>
  <si>
    <t>JG</t>
  </si>
  <si>
    <t xml:space="preserve"> 00003081 </t>
  </si>
  <si>
    <t>FECHADURA ESPELHO PARA PORTA EXTERNA, EM ACO INOX (MAQUINA, TESTA E CONTRA-TESTA) E EM ZAMAC (MACANETA, LINGUETA E TRINCOS) COM ACABAMENTO CROMADO, MAQUINA DE 55 MM, INCLUINDO CHAVE TIPO CILINDRO</t>
  </si>
  <si>
    <t>CJ</t>
  </si>
  <si>
    <t xml:space="preserve"> 00001328 </t>
  </si>
  <si>
    <t>CHAPA DE ACO FINA A FRIO BITOLA MSG 26, E = 0,45 MM (3,60 KG/M2)</t>
  </si>
  <si>
    <t xml:space="preserve"> 88628 </t>
  </si>
  <si>
    <t>ARGAMASSA TRAÇO 1:3 (EM VOLUME DE CIMENTO E AREIA MÉDIA ÚMIDA), PREPARO MECÂNICO COM BETONEIRA 400 L. AF_08/2019</t>
  </si>
  <si>
    <t xml:space="preserve"> 12794 </t>
  </si>
  <si>
    <t xml:space="preserve"> 9363 </t>
  </si>
  <si>
    <t xml:space="preserve"> 00011062 </t>
  </si>
  <si>
    <t>PLACA CIMENTICIA LISA E = 10 MM, DE 1,20 X *2,50* M (SEM AMIANTO)</t>
  </si>
  <si>
    <t xml:space="preserve"> 00040547 </t>
  </si>
  <si>
    <t>PARAFUSO ZINCADO, AUTOBROCANTE, FLANGEADO, 4,2 MM X 19 MM</t>
  </si>
  <si>
    <t>CENTO</t>
  </si>
  <si>
    <t xml:space="preserve"> 13552 </t>
  </si>
  <si>
    <t xml:space="preserve"> 13553 </t>
  </si>
  <si>
    <t xml:space="preserve"> 88278 </t>
  </si>
  <si>
    <t xml:space="preserve"> 00040535 </t>
  </si>
  <si>
    <t xml:space="preserve"> 88310 </t>
  </si>
  <si>
    <t xml:space="preserve"> 00038877 </t>
  </si>
  <si>
    <t xml:space="preserve"> 92795 </t>
  </si>
  <si>
    <t>CORTE E DOBRA DE AÇO CA-50, DIÂMETRO DE 12,5 MM, UTILIZADO EM ESTRUTURAS DIVERSAS, EXCETO LAJES. AF_12/2015</t>
  </si>
  <si>
    <t xml:space="preserve"> COTAÇÃO 02 </t>
  </si>
  <si>
    <t xml:space="preserve"> 88267 </t>
  </si>
  <si>
    <t xml:space="preserve"> 00037401 </t>
  </si>
  <si>
    <t>TOALHEIRO PLASTICO TIPO DISPENSER PARA PAPEL TOALHA INTERFOLHADO</t>
  </si>
  <si>
    <t xml:space="preserve"> COMP-00007 </t>
  </si>
  <si>
    <t xml:space="preserve"> 00007602 </t>
  </si>
  <si>
    <t>TORNEIRA DE METAL AMARELO, PARA TANQUE / JARDIM, DE PAREDE, COM BICO PLASTICO, CANO CURTO, AREA EXTERNA, PADRAO POPULAR / USO GERAL, 1/2 " OU 3/4 " (REF 1128)</t>
  </si>
  <si>
    <t xml:space="preserve"> 00003146 </t>
  </si>
  <si>
    <t xml:space="preserve"> COMP-00008 </t>
  </si>
  <si>
    <t xml:space="preserve"> 88247 </t>
  </si>
  <si>
    <t>AUXILIAR DE ELETRICISTA COM ENCARGOS COMPLEMENTARES</t>
  </si>
  <si>
    <t xml:space="preserve"> 88264 </t>
  </si>
  <si>
    <t>ELETRICISTA COM ENCARGOS COMPLEMENTARES</t>
  </si>
  <si>
    <t xml:space="preserve"> 87367 </t>
  </si>
  <si>
    <t>ARGAMASSA TRAÇO 1:1:6 (EM VOLUME DE CIMENTO, CAL E AREIA MÉDIA ÚMIDA) PARA EMBOÇO/MASSA ÚNICA/ASSENTAMENTO DE ALVENARIA DE VEDAÇÃO, PREPARO MANUAL. AF_08/2019</t>
  </si>
  <si>
    <t xml:space="preserve"> 00039804 </t>
  </si>
  <si>
    <t>QUADRO DE DISTRIBUICAO, EM PVC, DE EMBUTIR, COM BARRAMENTO TERRA / NEUTRO, PARA 6 DISJUNTORES NEMA OU 8 DISJUNTORES DIN</t>
  </si>
  <si>
    <t xml:space="preserve"> 00041474 </t>
  </si>
  <si>
    <t>CAIXA DE INSPECAO PARA ATERRAMENTO OU OUTRO USO, EM PVC, DN = 300 X *300* MM</t>
  </si>
  <si>
    <t xml:space="preserve"> 100301 </t>
  </si>
  <si>
    <t>AJUDANTE DE PINTOR COM ENCARGOS COMPLEMENTARES</t>
  </si>
  <si>
    <t xml:space="preserve"> 00041388 </t>
  </si>
  <si>
    <t>MASTRO SIMPLES GALVANIZADO DIAMETRO NOMINAL 2"</t>
  </si>
  <si>
    <t xml:space="preserve"> 00007307 </t>
  </si>
  <si>
    <t>FUNDO ANTICORROSIVO PARA METAIS FERROSOS (ZARCAO)</t>
  </si>
  <si>
    <t xml:space="preserve"> 00001347 </t>
  </si>
  <si>
    <t>CHAPA/PAINEL DE MADEIRA COMPENSADA PLASTIFICADA (MADEIRITE PLASTIFICADO) PARA FORMA DE CONCRETO, DE 2200 x 1100 MM, E = 12 MM</t>
  </si>
  <si>
    <t xml:space="preserve"> 00007292 </t>
  </si>
  <si>
    <t>TINTA ESMALTE SINTETICO PREMIUM BRILHANTE</t>
  </si>
  <si>
    <t xml:space="preserve"> 00020206 </t>
  </si>
  <si>
    <t>SARRAFO APARELHADO *2 X 10* CM, EM MACARANDUBA, ANGELIM OU EQUIVALENTE DA REGIAO</t>
  </si>
  <si>
    <t xml:space="preserve"> 00005061 </t>
  </si>
  <si>
    <t>PREGO DE ACO POLIDO COM CABECA 18 X 27 (2 1/2 X 10)</t>
  </si>
  <si>
    <t xml:space="preserve"> 00003768 </t>
  </si>
  <si>
    <t>LIXA EM FOLHA PARA FERRO, NUMERO 150</t>
  </si>
  <si>
    <t xml:space="preserve"> 00043058 </t>
  </si>
  <si>
    <t>ACO CA-50, 10,0 MM, OU 12,5 MM, OU 16,0 MM, OU 20,0 MM, DOBRADO E CORTADO</t>
  </si>
  <si>
    <t xml:space="preserve"> 00004718 </t>
  </si>
  <si>
    <t>PEDRA BRITADA N. 2 (19 A 38 MM) POSTO PEDREIRA/FORNECEDOR, SEM FRETE</t>
  </si>
  <si>
    <t xml:space="preserve"> 00011161 </t>
  </si>
  <si>
    <t>CAL HIDRATADA PARA PINTURA</t>
  </si>
  <si>
    <t xml:space="preserve"> 00043132 </t>
  </si>
  <si>
    <t>ARAME RECOZIDO 16 BWG, D = 1,65 MM (0,016 KG/M) OU 18 BWG, D = 1,25 MM (0,01 KG/M)</t>
  </si>
  <si>
    <t xml:space="preserve"> 00004720 </t>
  </si>
  <si>
    <t>PEDRA BRITADA N. 0, OU PEDRISCO (4,8 A 9,5 MM) POSTO PEDREIRA/FORNECEDOR, SEM FRETE</t>
  </si>
  <si>
    <t xml:space="preserve"> 00004791 </t>
  </si>
  <si>
    <t>ADESIVO ACRILICO DE BASE AQUOSA / COLA DE CONTATO</t>
  </si>
  <si>
    <t xml:space="preserve"> 00038181 </t>
  </si>
  <si>
    <t>PISO TATIL ALERTA OU DIRECIONAL, DE BORRACHA, COLORIDO, 25 X 25 CM, E = 5 MM, PARA COLA</t>
  </si>
  <si>
    <t>C4727</t>
  </si>
  <si>
    <t xml:space="preserve"> C4727 </t>
  </si>
  <si>
    <t>CERCA/GRADIL NYLOFOR H=1,53M, MALHA 5 X 20CM - FIO 5,00MM, COM FIXADORES DE POLIAMIDA EM POSTE 40 x 60 MM CHUMBADOS EM BASE DE CONCRETO (EXCLUSIVE ESTA) , REVESTIDOS EM POLIESTER POR PROCESSO DE PINTURA ELETROSTÁTICA (GRADIL E POSTE), NAS CORES VERDE OU BRANCA - FORNECIMENTO E INSTALAÇÃO</t>
  </si>
  <si>
    <r>
      <rPr>
        <b/>
        <sz val="10"/>
        <color theme="1"/>
        <rFont val="Arial"/>
        <family val="2"/>
      </rPr>
      <t>ENCARGOS SOCIAIS DE REFERENCIA:</t>
    </r>
    <r>
      <rPr>
        <sz val="10"/>
        <color theme="1"/>
        <rFont val="Arial"/>
        <family val="2"/>
      </rPr>
      <t xml:space="preserve"> </t>
    </r>
  </si>
  <si>
    <t>84,57% (HORA) 46,61% (MÊS)</t>
  </si>
  <si>
    <t>Total Por Etapa</t>
  </si>
  <si>
    <t>30 DIAS</t>
  </si>
  <si>
    <t>60 DIAS</t>
  </si>
  <si>
    <t>90 DIAS</t>
  </si>
  <si>
    <t>120 DIAS</t>
  </si>
  <si>
    <t>150 DIAS</t>
  </si>
  <si>
    <t>180 DIAS</t>
  </si>
  <si>
    <t>210 DIAS</t>
  </si>
  <si>
    <t>100,00%
34.628,67</t>
  </si>
  <si>
    <t>100,00%
3.485,52</t>
  </si>
  <si>
    <t>100,0%</t>
  </si>
  <si>
    <t>6.2.9</t>
  </si>
  <si>
    <t>6.2.10</t>
  </si>
  <si>
    <t xml:space="preserve"> 6.2.9 </t>
  </si>
  <si>
    <t xml:space="preserve"> 6.2.10 </t>
  </si>
  <si>
    <t>a</t>
  </si>
  <si>
    <t xml:space="preserve">Tabelas de Referência: </t>
  </si>
  <si>
    <t>B.D.I. =</t>
  </si>
  <si>
    <t xml:space="preserve">Encargos Sociais: </t>
  </si>
  <si>
    <t>SOLICITAÇÃO DE COMPROVAÇÃO MINÍMA TÉCNICA-OPERACIONAL</t>
  </si>
  <si>
    <t>SOLICITAÇÃO DE COMPROVAÇÃO TÉCNICA-PROFISSIONAL (CAT)</t>
  </si>
  <si>
    <t>Conforme Decisão do TCU (Acórdão nº 1.052/2012-Plenário): “abstenha-se de exigir número mínimo de atestados de capacidade técnica, bem como a fixação de quantitativo mínimo nesses atestados superior a 50% (...) dos quantitativos dos bens e serviços que se pretende contratar, a não ser que a especificidade do objeto o recomende, situação em que os motivos de fato e de direito deverão estar devidamente explicitados no processo administrativo da licitação”.</t>
  </si>
  <si>
    <t xml:space="preserve">b </t>
  </si>
  <si>
    <t>c</t>
  </si>
  <si>
    <t>d</t>
  </si>
  <si>
    <r>
      <t xml:space="preserve">Obra: </t>
    </r>
    <r>
      <rPr>
        <sz val="10"/>
        <rFont val="Arial"/>
        <family val="2"/>
      </rPr>
      <t>CONSTRUÇÃO DE UMA CRECHE, (CONCRETO/PVC - MODELO CONSTRUTIVO EM SÉRIE)</t>
    </r>
  </si>
  <si>
    <t>Desonerado: 
Horista:  84,57%
Mensalista:  46,61%</t>
  </si>
  <si>
    <r>
      <t>Endereço</t>
    </r>
    <r>
      <rPr>
        <sz val="8"/>
        <rFont val="Arial"/>
        <family val="2"/>
      </rPr>
      <t>: LOT. LUAR DO SENHOR - TORITAMA - PE</t>
    </r>
  </si>
  <si>
    <r>
      <t xml:space="preserve">Data do orçamento: </t>
    </r>
    <r>
      <rPr>
        <sz val="8"/>
        <rFont val="Arial"/>
        <family val="2"/>
      </rPr>
      <t>(Setembro/2022)</t>
    </r>
  </si>
  <si>
    <t>PLANILHA DOS CUSTOS DA ADMINISTRAÇÃO LOCAL PARA A OBRA.</t>
  </si>
  <si>
    <t>ESCAVAÇÃO VERTICAL A CÉU ABERTO, EM OBRAS DE EDIFICAÇÃO INCLUINDO CARGA, DESCARGA E TRANSPORTE, EM SOLO DE 1ª CATEGORIA COM ESCAVADEIRA HIDRÁULICA (CAÇAMBA: 0,8 M³ / 111 HP), FROTA DE 2 CAMINHÕES BASCULANTES DE 18 M³, DMT ATÉ 1 KM E VELOCIDADE MÉDIA 14 KM/H. AF_05/2020.</t>
  </si>
  <si>
    <t>TAPUME COM TELHA METÁLICA. AF_05/2018.</t>
  </si>
  <si>
    <t>PLACA DE OBRA EM CHAPA DE AÇO GALVANIZADO.</t>
  </si>
  <si>
    <t>LOCACAO CONVENCIONAL DE OBRA, UTILIZANDO GABARITO DE TÁBUAS CORRIDAS PONTALETADAS A CADA 2,00M - 2 UTILIZAÇÕES. AF_10/2018.</t>
  </si>
  <si>
    <t>INSTALAÇÕES PROVISÓRIAS DE LUZ, FORÇA, TELEFONE E LÓGICA.</t>
  </si>
  <si>
    <t>FUNDOS</t>
  </si>
  <si>
    <t>LATERAL DO TERRENO</t>
  </si>
  <si>
    <t>ESCAVAÇÃO MANUAL DE VALAS. AF_03/2016.</t>
  </si>
  <si>
    <t>REATERRO MANUAL DE VALAS COM COMPACTAÇÃO MECANIZADA. AF_04/2016.</t>
  </si>
  <si>
    <t>PREPARO DE FUNDO DE VALA COM LARGURA MENOR QUE 1,5 M (ACERTO DO SOLO NATURAL). AF_08/2020.</t>
  </si>
  <si>
    <t>LASTRO DE CONCRETO MAGRO, APLICADO EM PISOS OU RADIERS, ESPESSURA DE 5CM. AF_07/2016.</t>
  </si>
  <si>
    <t>ALVENARIA DE VEDAÇÃO DE BLOCOS CERÂMICOS FURADOS NA HORIZONTAL DE 9X19X19CM (ESPESSURA 19CM) E ARGAMASSA DE ASSENTAMENTO COM PREPARO MANUAL.</t>
  </si>
  <si>
    <t>PEDRA ARGAMASSADA COM CIMENTO E AREIA 1:3 - AREIA E PEDRA DE MÃO COMERCIAL - FORNECIMENTO E ASSENTAMENTO</t>
  </si>
  <si>
    <t>EXECUÇÃO E COMPACTAÇÃO DE BASE E/OU SUB-BASE COM BRITA GRADUADA SIMPLES - EXCLUSIVE CARGA E TRANSPORTE. AF_09/2017.</t>
  </si>
  <si>
    <t>CAMADA SEPARADORA PARA EXECUÇÃO DE RADIER, EM LONA PLÁSTICA. AF_09/2017.</t>
  </si>
  <si>
    <t>FABRICAÇÃO, MONTAGEM E DESMONTAGEM DE FORMA PARA RADIER, EM MADEIRA SERRADA, 4 UTILIZAÇÃO. AF_09/2017.</t>
  </si>
  <si>
    <t>FABRICAÇÃO, MONTAGEM E DESMONTAGEM DE FÔRMA PARA SAPATA, EM MADEIRA SERRADA, E=25MM, 4 UTILIZAÇÕES. AF_06/2017.</t>
  </si>
  <si>
    <t>FABRICAÇÃO, MONTAGEM E DESMONTAGEM DE FÔRMA PARA VIGA BALDRAME, EM MADEIRA SERRADA, E=25MM, 4 UTILIZAÇÕES. AF_06/2017.</t>
  </si>
  <si>
    <t>MONTAGEM E DESMONTAGEM DE FÔRMA DE PILARES RETANGULARES E ESTRUTURAS SIMILARES, PÉ-DIREITO SIMPLES, EM MADEIRA SERRADA, 4 UTILIZAÇÕES. AF_09/2020.</t>
  </si>
  <si>
    <t>CORTE E DOBRA DE AÇO CA-60, DIÂMETRO DE 5.0MM, UTILIZADO EM ESTRUTURAS DIVERSAS, EXCETO LAJES. AF_12/2015.</t>
  </si>
  <si>
    <t>CORTE E DOBRA DE AÇO CA-50, DIÂMETRO DE 8.0MM, UTILIZADO EM ESTRUTURAS DIVERSAS, EXCETO LAJES. AF_12/2015.</t>
  </si>
  <si>
    <t>CORTE E DOBRA DE AÇO CA-50, DIÂMETRO DE 10.0MM, UTILIZADO EM ESTRUTURAS DIVERSAS, EXCETO LAJES. AF_12/2015.</t>
  </si>
  <si>
    <t>CONCRETAGEM DE RADIER, PISO OU LAJE SOBRE SOLO, FCK = 30MPA, PARA ESPESSURA DE 10CM - LANÇAMENTO, ADENSAMENTO E ACABAMENTO. AF_09/2017.</t>
  </si>
  <si>
    <t>LANÇAMENTO COM USO DE BALDES, ADENSAMENTO E ACABAMENTO DE CONCRETO EM ESTRUTURAS. AF_12/2015.</t>
  </si>
  <si>
    <t>PAREDE E/OU DIVISÓRIA FORMADA POR PERFIS E MÓDULOS DE PVC QUE INTEGRAM O SISTEMA CONSTRUTIVO INOVADOR EM CONCRETO/PVC DE ACORDO COM AS DIRETRIZ SINAT 004/VER.01 - SINAT DO MINISTÉRIO DO DESENVOLVIMENTO REGIONAL, INCLUSIVE FORNECIMENTO DOS MÓDULOS (PERFIL) , ACESSÓRIOS E MONTAGEM.</t>
  </si>
  <si>
    <t>CONCRETO FCK = 25 MPA, TRAÇO 1:2,3:2,7 (CIMENTO/AREIA MÉDIA/BRITA 1) - PREPARO MECÂNICO COM BETONEIRA 400 L. AF_07/2016.</t>
  </si>
  <si>
    <t>DIVISÓRIA SANITÁRIA, TIPO CABINE, EM GRANITO CINZA POLIDO, ESP = 3CM, ASSENTADO COM ARGAMASSA COLANTE AC III-E, EXCLUSIVE FERRAGENS. AF_01/2021</t>
  </si>
  <si>
    <t>BANCADA DE GRANITO CINZA (CONFORME PROJETO DE ARQUITETURA).</t>
  </si>
  <si>
    <t>ALVENARIA DE VEDAÇÃO DE BLOCOS CERÂMICOS FURADOS NA HORIZONTAL DE 9X19X19CM (ESPESSURA 9CM) E ARGAMASSA DE ASSENTAMENTO COM PREPARO MANUAL. AF_06/2014.</t>
  </si>
  <si>
    <t>CERCA/GRADIL NYLOFOR H=1,53M, MALHA 5 X 20CM - FIO 5,00MM, COM FIXADORES DE POLIAMIDA EM POSTE 40 X 60 MM CHUMBADOS EM BASE DE CONCRETO (EXCLUSIVE ESTA) , REVESTIDOS EM POLIESTER POR PROCESSO DE PINTURA ELETROSTÁTICA (GRADIL E POSTE), NAS CORES VERDE OU BRANCA - FORNECIMENTO E INSTALAÇÃO.</t>
  </si>
  <si>
    <t xml:space="preserve">LIMPEZA GERAL </t>
  </si>
  <si>
    <t>CONJUNTO DE MASTRO P/ TRÊS BANDEIRAS E PEDESTAL.</t>
  </si>
  <si>
    <t>AR-CONDICIONADO SPLIT ON/OFF, HI-WALL (PAREDE), 9000 BTUS/H, CICLO QUENTE/FRIO - FORNECIMENTO E INSTALAÇÃO. AF_11/2021_P.</t>
  </si>
  <si>
    <t>PISO TATIL DE ALERTA OU DIRECIONAL, DE BORRACHA, COLORIDO, 25 X 25 CM, E = 3,5 MM, ASSENTADO COM COLA.</t>
  </si>
  <si>
    <t>Lateral da creche</t>
  </si>
  <si>
    <t>Fundo da escola</t>
  </si>
  <si>
    <t>Jardim frontal 01</t>
  </si>
  <si>
    <t>Jardim frontal 02</t>
  </si>
  <si>
    <t>COMP.-5</t>
  </si>
  <si>
    <t xml:space="preserve">ENCHIMENTO DE AREIA PENEIRADA, LANÇAMENTO MANUAL. </t>
  </si>
  <si>
    <t>alimentação e fraldário - sala 01 a 08</t>
  </si>
  <si>
    <t>Brinquedoteca</t>
  </si>
  <si>
    <t>creche I e repouso - sala 01 a 08</t>
  </si>
  <si>
    <t>Área do parquinho</t>
  </si>
  <si>
    <t>PARA-RAIOS TIPO FRANKLIN C/ SINALIZADOR (FORNECIMENTO E MONTAGEM).</t>
  </si>
  <si>
    <t>VERGALHÃO DE COBRE ELETROLÍTICO DE 3/8"</t>
  </si>
  <si>
    <t>CONECTOR DE PRESSÃO PARA CABO NU DE 35MM² - FORNECIMENTO E INSTALAÇÃO</t>
  </si>
  <si>
    <t>TERMINAL OU CONECTOR DE PRESSÃO - PARA CABO 50MM² - FORNECIMENTO E INSTALAÇÃO.</t>
  </si>
  <si>
    <t>HASTE DE ATERRAMENTO 5/8" PARA SPDA - FORNECIMENTO E INSTALAÇÃO. AF_12/2017.</t>
  </si>
  <si>
    <t>CORDOALHA DE COBRE NU 35MM², NÃO ENTERRADA, COM ISOLADOR - FORNECIMENTO E INSTALAÇÃO. AF_12/2017.</t>
  </si>
  <si>
    <t>CORDOALHA DE COBRE NU 50MM², NÃO ENTERRADA, COM ISOLADOR - FORNECIMENTO E INSTALAÇÃO. AF_12/2017.</t>
  </si>
  <si>
    <t>CAIXA DE INSPEÇÃO EM PVC 300MM.</t>
  </si>
  <si>
    <t>SUPORTE ISOLADOR PARA CORDOALHA DE COBRE - FORNECIMENTO E INSTALAÇÃO. AF_12/2017.</t>
  </si>
  <si>
    <t>POSTE DE CONCRETO DUPLO T H=9M CARGA NOMINAL 500KG INCLUSIVE ESCAVAÇÃO, EXCLUSIVE TRANSPORTE - FORNECIMENTO E INSTALAÇÃO.</t>
  </si>
  <si>
    <t>ENTRADA DE ENERGIA ELÉTRICA, AÉREA, TRIFÁSICA, COM CAIXA DE SOBREPOR, CABO DE 16 MM2 E DISJUNTOR DIN 50A (NÃO INCLUSO O POSTE DE CONCRETO). AF_07/2020_P.</t>
  </si>
  <si>
    <t>SUBESTAÇÃO AÉREA DE 112,5 KVA/13.800-380/220V COM QUADRO DE MEDIÇÃO E PROTEÇÃO GERAL, INCLUSIVE MALHA DE ATERRAMENTO.</t>
  </si>
  <si>
    <t>DISJUNTOR TRIPOLAR TIPO DIN, CORRENTE NOMINAL DE 50A - FORNECIMENTO E INSTALAÇÃO. AF_04/2016.</t>
  </si>
  <si>
    <t>DISJUNTOR TRIPOLAR TIPO DIN, CORRENTE NOMINAL DE 32A - FORNECIMENTO E INSTALAÇÃO. AF_04/2016.</t>
  </si>
  <si>
    <t>ELETRODUTO FLEXÍVEL CORRUGADO, PVC, DN 25MM (3/4"), PARA CIRCUITOS TERMINAIS, INSTALADO EM FORRO - FORNECIMENTO E INSTALAÇÃO. AF_12/2015.</t>
  </si>
  <si>
    <t>ELETRODUTO FLEXÍVEL CORRUGADO, PVC, DN 25MM (3/4"), PARA CIRCUITOS TERMINAIS, INSTALADO EM PAREDE - FORNECIMENTO E INSTALAÇÃO. AF_12/2015.</t>
  </si>
  <si>
    <t>ELETRODUTO FLEXÍVEL CORRUGADO, PVC, DN 32MM (1"), PARA CIRCUITOS TERMINAIS, INSTALADO EM PAREDE - FORNECIMENTO E INSTALAÇÃO. AF_12/2015.</t>
  </si>
  <si>
    <t>ELETRODUTO RÍGIDO ROSCÁVEL, PVC, DN 32MM (1"), PARA CIRCUITOS TERMINAIS, INSTALADO EM FORRO - FORNECIMENTO E INSTALAÇÃO. AF_12/2015.</t>
  </si>
  <si>
    <t>ELETRODUTO RÍGIDO ROSCÁVEL, PVC, DN 32MM (1"), PARA CIRCUITOS TERMINAIS, INSTALADO EM PAREDE - FORNECIMENTO E INSTALAÇÃO. AF_12/2015.</t>
  </si>
  <si>
    <t>ELETRODUTO RÍGIDO ROSCÁVEL, PVC, DN 60MM (2") - FORNECIMENTO E INSTALAÇÃO. AF_12/2015.</t>
  </si>
  <si>
    <t>CAIXA DE PASSAGEM 30X30X40 COM TAMPA E DRENO BRITA.</t>
  </si>
  <si>
    <t>CABO DE COBRE FLEXÍVEL ISOLADO, 2,5MM², ANTI-CHAMA 450/750V, PARA CIRCUITOS TERMINAIS - FORNECIMENTO E INSTALAÇÃO. AF_12/2015.</t>
  </si>
  <si>
    <t>CABO DE COBRE FLEXÍVEL ISOLADO, 4,0MM², ANTI-CHAMA 450/750V, PARA CIRCUITOS TERMINAIS - FORNECIMENTO E INSTALAÇÃO. AF_12/2015.</t>
  </si>
  <si>
    <t>CABO DE COBRE FLEXÍVEL ISOLADO, 10,0MM², ANTI-CHAMA 450/750V, PARA CIRCUITOS TERMINAIS - FORNECIMENTO E INSTALAÇÃO. AF_12/2015.</t>
  </si>
  <si>
    <t>CABO DE COBRE FLEXÍVEL ISOLADO, 16 MM², ANTI-CHAMA 0,6/1,0 KV, PARA CIRCUITOS TERMINAIS - FORNECIMENTO E INSTALAÇÃO. AF_12/2015.</t>
  </si>
  <si>
    <t>TOMADA ALTA DE EMBUTIR (1 MÓDULO), 2P+T 20A, INCLUINDO SUPORTE E PLACA - FORNECIMENTO E INSTALAÇÃO. AF_12/2015.</t>
  </si>
  <si>
    <t>TOMADA MÉDIA DE EMBUTIR (1 MÓDULO), 2P+T 20A, INCLUINDO SUPORTE E PLACA - FORNECIMENTO E INSTALAÇÃO. AF_12/2015.</t>
  </si>
  <si>
    <t>TOMADA BAIXA DE EMBUTIR (2 MÓDULO), 2P+T 10A, INCLUINDO SUPORTE E PLACA - FORNECIMENTO E INSTALAÇÃO. AF_12/2015.</t>
  </si>
  <si>
    <t>INTERRUPTOR SIMPLES (1 MÓDULO) COM INTERRUPTOR PARALELO (1 MÓDULO), 10A/250V, INCLUINDO SUPORTE E PLACA - FORNECIMENTO E INSTALAÇÃO. AF_12/2015.</t>
  </si>
  <si>
    <t>INTERRUPTOR SIMPLES (2 MÓDULO), 10A/250V, INCLUINDO SUPORTE E PLACA - FORNECIMENTO E INSTALAÇÃO. AF_12/2015.</t>
  </si>
  <si>
    <t>INTERRUPTOR SIMPLES (3 MÓDULO), 10A/250V, INCLUINDO SUPORTE E PLACA - FORNECIMENTO E INSTALAÇÃO. AF_12/2015.</t>
  </si>
  <si>
    <t>ARANDELA PARA FLUORESCENTE COMPACTA 18W EM ALUMÍNIO ANODIZADO E PINTADO POR PROCESSO ELETROSTÁTICO COM UM VISOR FOSCO.</t>
  </si>
  <si>
    <t>LUMINÁRIA TIPO CALHA, DE SOBREPOR, COM 2 LÂMPADAS TUBULARES FLUORESCENTES DE 18 W, COM REATOR DE PARTIDA RÁPIDA - FORNECIMENTO E INSTALAÇÃO.AF_02/2020</t>
  </si>
  <si>
    <t>REFLETOR EM ALUMÍNIO COM SUPORTE E ALÇA, LÂMPADA 250 W - FORNECIMENTO E INSTALAÇÃO. AF_11/2017.</t>
  </si>
  <si>
    <t>BACIA SANITÁRIA PARA CADEIRANTES C/ ASSENTO (ABERTURA FRONTAL).</t>
  </si>
  <si>
    <t>VASO SANITÁRIO SIFONADO COM CAIXA ACOPLADA LOUÇA BRANCA, INCLUSIVE ENGATE FLEXÍVEL EM PLÁSTICO BRANCO, 1/2 X 40CM - FORNECIMENTO E INSTALAÇÃO. AF_12/2013.</t>
  </si>
  <si>
    <t>VASO SANITÁRIO INFANTIL LOUÇA BRANCA - FORNECIMENTO E INSTALAÇÃO. AF_01/01/2020</t>
  </si>
  <si>
    <t>CUBA DE EMBUTIR OVAL EM LOUÇA BRANCA, 35 X 50CM OU EQUIVALENTE - FORNECIMENTO E INSTALAÇÃO. AF_12/2013.</t>
  </si>
  <si>
    <t>PAPELEIRA DE PAREDE EM METAL CROMADO SEM TAMPA, INCLUSO FIXAÇÃO. AF_10/2016.</t>
  </si>
  <si>
    <t>BARRA DE APOIO RETA, EM AÇO INOX POLIDO, COMPRIMENTO 80 CM, FIXADA NA PAREDE - FORNECIMENTO E INSTALAÇÃO. AF_01/2020.</t>
  </si>
  <si>
    <t>DISPENSER PARA TOALHAS INTERFOLHADAS.</t>
  </si>
  <si>
    <t>TANQUE DE LOUÇA BRANCA COM COLUNA, 30L OU EQUIVALENTE - FORNECIMENTO E INSTALAÇÃO. AF_12/2013.</t>
  </si>
  <si>
    <t>CUBA DE EMBUTIR RETANGULAR DE AÇO INOXIDÁVEL, 46 X 30 X 12 CM - FORNECIMENTO E INSTALAÇÃO. AF_01/2020.</t>
  </si>
  <si>
    <t>CHUVEIRO ELÉTRICO COMUM CORPO PLÁSTICO, TIPO DUCHA FORNECIMENTO E INSTALAÇÃO. AF_01/2020.</t>
  </si>
  <si>
    <r>
      <t xml:space="preserve">LAVATÓRIO LOUÇA BRANCA </t>
    </r>
    <r>
      <rPr>
        <sz val="8"/>
        <color rgb="FF000000"/>
        <rFont val="Arial"/>
        <family val="2"/>
      </rPr>
      <t>SUSPENSO, 29,5 X 39CM OU EQUIVALENTE, PADRÃO POPULAR - FORNECIMENTO E INSTALAÇÃO. AF_12/2013.</t>
    </r>
  </si>
  <si>
    <r>
      <t>LAVATÓRIO LOUÇA BRANCA COM COLUNA, *44 X35,5*CM, PADRÃO POPULAR, INCLUSO SIFÃO FLEXÍVEL EM PVC, VÁLVULA E ENGATE FLEXÍVEL 30CM EM PLÁSTICO E COM TORNEIRA CROMADA P</t>
    </r>
    <r>
      <rPr>
        <sz val="8"/>
        <color rgb="FF000000"/>
        <rFont val="Arial"/>
        <family val="2"/>
      </rPr>
      <t>ADRÃO POPULAR - FORNECIMENTO E INSTALAÇÃO. AF_12/2013.</t>
    </r>
  </si>
  <si>
    <r>
      <t>TORNEIRA CROMADA DE MESA, 1/2" OU 3/4", PARA LAVATÓRIO, PADRÃO MÉDIO - FORNECIMENTO E INSTALAÇÃO. A</t>
    </r>
    <r>
      <rPr>
        <sz val="8"/>
        <color rgb="FF000000"/>
        <rFont val="Arial"/>
        <family val="2"/>
      </rPr>
      <t>F_12/2013.</t>
    </r>
  </si>
  <si>
    <r>
      <t xml:space="preserve">BARRA DE APOIO RETA, EM AÇO INOX POLIDO, COMPRIMENTO </t>
    </r>
    <r>
      <rPr>
        <sz val="8"/>
        <color rgb="FF000000"/>
        <rFont val="Arial"/>
        <family val="2"/>
      </rPr>
      <t>60CM, FIXADA NA PAREDE - FORNECIMENTO E INSTALAÇÃO. AF_01/2020.</t>
    </r>
  </si>
  <si>
    <t>SABONETEIRA DE PAREDE EM METAL CROMADO, INCLUSO FIXAÇÃO. AF_10/2016.</t>
  </si>
  <si>
    <r>
      <t>TORNEIRA CROMADA TUBO MÓVEL, DE PAREDE, 1/2" OU 3/4", PARA PÍA</t>
    </r>
    <r>
      <rPr>
        <sz val="8"/>
        <color rgb="FF000000"/>
        <rFont val="Arial"/>
        <family val="2"/>
      </rPr>
      <t xml:space="preserve"> DE COZINHA, PADRÃO MÉDIO - FORNECIMENTO E INSTALAÇÃO. AF_12/2013.</t>
    </r>
  </si>
  <si>
    <r>
      <t>TORNEIRA CROMADA 1/2" OU 3/4" PARA TANQUE, PADRÃO POPULAR - FORNECIMENTO E INSTALAÇÃO. A</t>
    </r>
    <r>
      <rPr>
        <sz val="8"/>
        <color rgb="FF000000"/>
        <rFont val="Arial"/>
        <family val="2"/>
      </rPr>
      <t>F_12/2013.</t>
    </r>
  </si>
  <si>
    <t>KIT DE PORTA DE MADEIRA PARA PINTURA, SEMI-OCA (LEVE OU MÉDIA), PADRÃO MÉDIO, 0,90X2,10M, ESPESSURA DE 3,5CM, COM CHAPA METÁLICA H=50CM, VISOR DE VIDRO 20X110CM, ALIZAR, DOBRADIÇAS, MONTAGEM E INSTALAÇÃO DO BATENTE, FECHADURA COM EXECUÇÃO DO FURO - FORNECIMENTO E INSTALAÇÃO. (P3 - CONFORME PROJETO DE ARQUITETURA).</t>
  </si>
  <si>
    <t>PORTA EM ALUMÍNIO DE ABRIR TIPO VENEZIANA COM GUARNIÇÃO, FIXAÇÃO COM PARAFUSOS - FORNECIMENTO E INSTALAÇÃO. AF_08/2015.</t>
  </si>
  <si>
    <t>PORTA DE FERRO, DE ABRIR, TIPO GRADE COM CHAPA, COM GUARNIÇÕES. AF_12/2019.</t>
  </si>
  <si>
    <t>JANELA DE ALUMÍNIO DE CORRER COM 2 FOLHAS PARA VIDROS, COM VIDROS, BATENTE, ACABAMENTO COM ACETATO OU BRILHANTE E FERRAGENS. EXCLUSIVE ALIZAR E CONTRAMARCO. FORNECIMENTO E INSTALAÇÃO. AF_12/2019.</t>
  </si>
  <si>
    <t>INSTALAÇÃO DE VIDRO LISO INCOLOR, E = 6 MM, EM ESQUADRIA DE ALUMÍNIO OU PVC, FIXADO COM BAGUETE. AF_01/2021_P.</t>
  </si>
  <si>
    <t>Creche 01 e creche 02 (acesso), Adm(acesso), sala multiuso, brinquedoteca</t>
  </si>
  <si>
    <t>CONJNTO</t>
  </si>
  <si>
    <t xml:space="preserve">Porta de acesso </t>
  </si>
  <si>
    <t>Entrada principal (área externa)</t>
  </si>
  <si>
    <t>Entrada principal (área interna)</t>
  </si>
  <si>
    <t>acesso lateral</t>
  </si>
  <si>
    <t>FABRICAÇÃO E INSTALAÇÃO DE TESOURA INTEIRA EM AÇO, VÃO DE 6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</si>
  <si>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</si>
  <si>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AF_07/2019.</t>
  </si>
  <si>
    <t>TELHAMENTO COM TELHA METÁLICA TERMOACÚSTICA E=30MM, COM ATÉ 2 ÁGUAS, INCLUSO IÇAMENTO. AF_06/2016.</t>
  </si>
  <si>
    <t>CUMEEIRA TERMOACÚSTICA.</t>
  </si>
  <si>
    <t>RUFO EM CHAPA DE AÇO GALVANIZADO NÚMERO 24, CORTE DE 25CM, INCLUSO TRANSPORTE VERTICAL. AF_06/2016.</t>
  </si>
  <si>
    <t>CALHA EM CHAPA DE AÇO GALVANIZADO NÚMERO 24, DESENVOLVIMENTO DE 100CM, INCLUSO TRANSPORTE VERTICAL. AF_06/2016.</t>
  </si>
  <si>
    <t>FORRO BOREAL MODULADO ESTRUTURADO (25X625X1250MM), COM PERFIL T LEVE EM AÇO BRANCO E TRATAMENTO TERMO-ACÚSTICO EM LÃ DE VIDRO, FECHAMENTO EM PELÍCULA DE PVC PERFURADO OU EQUIVALENTE - FORNECIMENTO E INSTALAÇÃO.</t>
  </si>
  <si>
    <t>FORRO EM RÉGUAS DE PVC, FRISADO, PARA AMBIENTES RESIDÊNCIAIS, INCLUISVE ESTRUTURA DE FIXAÇÃO. AF_05/2017_P.</t>
  </si>
  <si>
    <t>IMPERMEABILIZAÇÃO DE SUPERFÍCIE COM MEMBRANA À BASE DE RESINA ACRÍLICA, 3 DEMÃOS. AF_06/2018.</t>
  </si>
  <si>
    <t>Creche I - Sala 5</t>
  </si>
  <si>
    <t>Creche I - repouso 5</t>
  </si>
  <si>
    <t>Creche I - alimentação 5</t>
  </si>
  <si>
    <t>Creche I - Sala 6</t>
  </si>
  <si>
    <t>Creche I - repouso 6</t>
  </si>
  <si>
    <t>Creche I - fraldário 5</t>
  </si>
  <si>
    <t>Creche I - alimentação 6</t>
  </si>
  <si>
    <t>Creche I - fraldário 6</t>
  </si>
  <si>
    <t>Creche I - Sala 7</t>
  </si>
  <si>
    <t>Creche I - repouso 7</t>
  </si>
  <si>
    <t>Creche I - Sala 8</t>
  </si>
  <si>
    <t>Creche I - repouso 8</t>
  </si>
  <si>
    <t>Creche I - alimentação 7</t>
  </si>
  <si>
    <t>Creche I - fraldário 7</t>
  </si>
  <si>
    <t>Creche I - alimentação 8</t>
  </si>
  <si>
    <t>Creche I - fraldário 8</t>
  </si>
  <si>
    <t>WC. PCD</t>
  </si>
  <si>
    <t>lavabo</t>
  </si>
  <si>
    <t>Acesso A.S</t>
  </si>
  <si>
    <t>Saída de lixo</t>
  </si>
  <si>
    <t>TUBO PVC, SÉRIE R, ÁGUA PLUVIAL, DN 150 MM, FORNECIDO E INSTALADO EM CONDUTORES VERTICAIS DE ÁGUAS PLUVIAIS. AF_12/2014.</t>
  </si>
  <si>
    <t>TUBO PVC, SÉRIE R, ÁGUA PLUVIAL, DN-100 MM, FORNECIDO E INSTALADO EM RAMAL DE ENCAMINHAMENTO. AF_12/2014.</t>
  </si>
  <si>
    <t>JOELHO 45 GRAUS, PVC, SERIE R, ÁGUA PLUVIAL, DN-100 MM, JUNTA ELÁSTICA, FORNECIDO E INSTALADO EM RAMAL DE ENCAMINHAMENTO. AF_12/2014.</t>
  </si>
  <si>
    <t>REATERRO MANUAL APILOADO COM SOQUETE. AF_10/2017.</t>
  </si>
  <si>
    <t>CAIXA ENTERRADA HIDRÁULICA RETANGULAR EM ALVENARIA COM TIJOLOS CERÂMICOS MACIÇOS, DIMENSÕES INTERNAS: 0,6X0,6X0,6 M PARA REDE DE DRENAGEM. AF_12/2020.</t>
  </si>
  <si>
    <t>Bancadas da Creche I - sala 1-2, 3-4, 5-6, 7-8 (salas)</t>
  </si>
  <si>
    <t>Bancadas da Creche I - sala 1-2, 3-4, 5-6, 7-8 (fraudário)</t>
  </si>
  <si>
    <t>(MURO EXTERNO - demais lados da creche) - frente, lado direito e esquerdo, fundos</t>
  </si>
  <si>
    <t>(MURO EXTERNO - lados da creche) - frente, lateral, fundos</t>
  </si>
  <si>
    <t>Contorno da área de jardim 06</t>
  </si>
  <si>
    <t>REVESTIMENTO CERÂMICO PARA PAREDES INTERNAS COM PLACAS TIPO ESMALTADA EXTRA DE DIMENSÕES 33X45 CM APLICADAS EM AMBIENTES DE ÁREA MAIOR QUE 5M² NA ALTURA INTEIRA DAS PAREDES. AF_06/2014</t>
  </si>
  <si>
    <t>CERÂMICA ESMALTADA C/ ARG. PRÉ-FABRICADA ATÉ 10X10CM (100CM²) - DECORATIVA - P/ PAREDE.</t>
  </si>
  <si>
    <t>REJUNTAMENTO C/ ARG. PRÉ-FABRICADA, JUNTA ENTRE 2MM E 6MM EM CERÂMICA, ATÉ 10X10 CM (100 CM²) - DECORATIVA (PAREDE/PISO).</t>
  </si>
  <si>
    <t>CHAPISCO APLICADO EM ALVENARIA (SEM PRESENÇA DE VÃOS) E ESTRUTURAS DE CONCRETO DE FACHADA, COM COLHER DE PEDREIRO. ARGAMASSA TRAÇO 1:3 COM PREPARO EM BETONEIRA 400L. AF_06/2014.</t>
  </si>
  <si>
    <t>EMBOÇO OU MASSA ÚNICA EM ARGAMASSA TRAÇO 1:2:8, PREPARO MANUAL, APLICADA MANUALMENTE EM PANOS CEGOS DE FACHADA (SEM PRESENÇA DE VÃOS), ESPESSURA DE 25MM. AF_06/2014.</t>
  </si>
  <si>
    <t>PLACA CIMENTÍCIA E =10MM, PARA FECHAMENTO DA FACHADA (1 LADO/FACE), JUNTAS APARENTES, FIXADA EM PAINEL DE ESTRUTURA METALICA, EXCLUSIVE ESTA (FORNECIMENTO E ASSENTAMENTO).</t>
  </si>
  <si>
    <t>CONTRAPISO EM ARGAMASSA TRAÇO 1:4 (CIMENTO E AREIA), PREPARO MANUAL, APLICADO EM ÁREAS SECAS SOBRE LAJE, ADERIDO, ESPESSURA 2CM. AF_06/2014.</t>
  </si>
  <si>
    <t>REVESTIMENTO CERÂMICO PARA PISO COM PLACAS TIPO ESMALTADA EXTRA DE DIMENSÕES 45X45 CM APLICADA EM AMBIENTES DE ÁREA ENTRE 5 M2 E 10 M2. AF_06/2014.</t>
  </si>
  <si>
    <t>SOLEIRA DE MÁRMORE L = 8CM</t>
  </si>
  <si>
    <t>CONCRETO FCK = 20MPA, TRAÇO 1:2,3:2,7 (EM MASSA SECA DE CIMENTO/ AREIA MÉDIA/ BRITA 1) - PREPARO MECÂNICO COM BETONEIRA 400 L. AF_05/202</t>
  </si>
  <si>
    <t>Pátio interno</t>
  </si>
  <si>
    <t>Refeitório</t>
  </si>
  <si>
    <t>Pátio coberto</t>
  </si>
  <si>
    <t>Rampa 1</t>
  </si>
  <si>
    <t>Rampa 2</t>
  </si>
  <si>
    <t>área do pátio coberto</t>
  </si>
  <si>
    <t>EXECUÇÃO DE PASSEIO EM PISO INTERTRAVADO, COM BLOCO RETANGULAR COR NATURAL DE 20 X 10CM, ESPESSURA 6 CM. AF_12/2015.</t>
  </si>
  <si>
    <t>Calçada de contorno da edificação, conforme projeto (Frente - estacionamento e circulação externa)</t>
  </si>
  <si>
    <t>APLICAÇÃO DE FUNDO SELADOR ACRÍLICO EM PAREDES, UMA DEMÃO. AF_06/2014.</t>
  </si>
  <si>
    <t>APLICAÇÃO MANUAL DE MASSA ACRÍLICA EM PAREDES EXTERNAS DE CASAS, DUAS DEMÃOS. AF_05/2017.</t>
  </si>
  <si>
    <t>TEXTURA ACRÍLICA, APLICAÇÃO MANUAL EM PAREDE, DUAS DEMÃOS. (ACABAMENTO TIPO "PINGO/CASCA DE JACÁ")</t>
  </si>
  <si>
    <t>APLICAÇÃO MANUAL DE PINTURA COM TINTA LÁTEX ACRÍLICA EM PAREDES, DUAS DEMÃOS. AF_06/2014.</t>
  </si>
  <si>
    <t>PINTURA COM TINTA ALQUÍDICA DE FUNDO (TIPO ZARCÃO) APLICADA A ROLO OU PINCEL SOBRE SUPERFÍCIES METÁLICAS (EXCETO PERFIL) EXECUTADO EM OBRA (POR DEMÃO). AF_01/2020.</t>
  </si>
  <si>
    <t>PINTURA COM TINTA ALQUÍDICA DE ACABAMENTO ( ESMALTE SINTÉTICO BRILHANTE) APLICADA A ROLO OU PINCEL SOBRE SUPERFÍCIE METÁLICAS (EXCETO PERFIL) EXECUTADO EM OBRA (02 DEMÃOS). AF_01/2020</t>
  </si>
  <si>
    <t>PINTURA DE PISO COM TINTA ACRÍLICA, APLICAÇÃO MANUAL, 2 DEMÃOS, INCLUSO FUNDO PREPARADOR. AF_05/2021.</t>
  </si>
  <si>
    <t>portão gradil com uma folha</t>
  </si>
  <si>
    <t>portão gradil com duas folhas</t>
  </si>
  <si>
    <t>portão de giro com duas folhas</t>
  </si>
  <si>
    <t>FABRICAÇÃO, MONATGEM E DESMONTAGEM DE FÔRMA PARA SAPATA, EM CHAPA DE MADEIRA COMPENSADA RESINADA, E=17MM, 2 UTILIZAÇÕES. AF_06/2017.</t>
  </si>
  <si>
    <t>Base para o castelo d'agua</t>
  </si>
  <si>
    <t>Área total da edificação "NOVA". (obs: já retirando área do jardim e parquinho, rampas, etc)</t>
  </si>
  <si>
    <t>PONTO SANITÁRIO, MATERIAL E EXECUÇÃO.</t>
  </si>
  <si>
    <t>CAIXA SIFONADA, PVC, DN 100X100X50MM, FORNECIDA E INSTALADA EM RAMAIS DE ENCAMINHAMENTO DE ÁGUA PLUVIAL. AF_12/2014.</t>
  </si>
  <si>
    <r>
      <t>TUBO PVC, SÉRIE NORMAL, ESGOTO PREDIAL, DN 100MM, FORNECIDO</t>
    </r>
    <r>
      <rPr>
        <sz val="8"/>
        <color rgb="FF000000"/>
        <rFont val="Arial"/>
        <family val="2"/>
      </rPr>
      <t xml:space="preserve"> E INSTALADO EM RAMAL DE DESCARGA OU RAMAL DE ESGOTO SANITÁRIO. AF_12/2014.</t>
    </r>
  </si>
  <si>
    <r>
      <t>TUBO PVC, SÉRIE NORMAL, ESGOTO PREDIAL, DN 50MM,</t>
    </r>
    <r>
      <rPr>
        <sz val="8"/>
        <color rgb="FF000000"/>
        <rFont val="Arial"/>
        <family val="2"/>
      </rPr>
      <t xml:space="preserve"> FORNECIDO E INSTALADO EM RAMAL DE DESCARGA OU RAMAL DE ESGOTO SANITÁRIO. AF_12/2014.</t>
    </r>
  </si>
  <si>
    <t>CAIXA DE GORDURA PEQUENA (CAPACIDADE: 19L), CIRCULAR EM PVC, DIAMETRO INTERNO- 0,3 M. AF_12/2020.</t>
  </si>
  <si>
    <r>
      <t xml:space="preserve">CAIXA ENTERRADA HIDRÁULICA RETANGULAR EM ALVENARIA COM TIJOLOS CERÂMICOS </t>
    </r>
    <r>
      <rPr>
        <sz val="8"/>
        <color rgb="FF000000"/>
        <rFont val="Arial"/>
        <family val="2"/>
      </rPr>
      <t>MACIÇOS, DIMENSÕES INTERNAS: 0,6X0,6X0,6 M PARA REDE DE ESGOTO. AF_12/2020.</t>
    </r>
  </si>
  <si>
    <t>PONTO</t>
  </si>
  <si>
    <t>CONJUNTO</t>
  </si>
  <si>
    <r>
      <t xml:space="preserve">PONTO DE </t>
    </r>
    <r>
      <rPr>
        <sz val="8"/>
        <color rgb="FF000000"/>
        <rFont val="Arial"/>
        <family val="2"/>
      </rPr>
      <t>CONSUMO TERMINAL DE ÁGUA FRIA (SUBRAMAL) COM TUBULAÇÃO DE PVC, DN 25 MM, INSTALADO EM RAMAL DE ÁGUA, INCLUSOS RASGO E CHUMBAMENTO EM ALVENARIA. AF_12/2014.</t>
    </r>
  </si>
  <si>
    <r>
      <t>REGISTRO DE GAVETA BRUTO, LATÃO, ROSCÁVEL, 2", INSTALADO EM RESERVAÇÃO DE ÁGUA DE EDIFICAÇÃO QUE POSSUA RESERVATÓRIO DE FIBRA</t>
    </r>
    <r>
      <rPr>
        <sz val="8"/>
        <color rgb="FF000000"/>
        <rFont val="Arial"/>
        <family val="2"/>
      </rPr>
      <t>/FIBROCIMENTO - FORNECIMENTO E INSTALAÇÃO. AF_06/2016.</t>
    </r>
  </si>
  <si>
    <r>
      <t>REGISTRO DE GAVETA BRUTO, LATÃO, ROSCÁVEL, 3/4", FORNECIDO E INSTALADO EM RAMAIS DE ÁGUA.</t>
    </r>
    <r>
      <rPr>
        <sz val="8"/>
        <color rgb="FF000000"/>
        <rFont val="Arial"/>
        <family val="2"/>
      </rPr>
      <t xml:space="preserve"> AF_12/2014.</t>
    </r>
  </si>
  <si>
    <t>TUBO, PVC, SOLDÁVEL, DN 32MM, INSTALADO EM PRUMADA DE ÁGUA - FORNECIMENTO E INSTALAÇÃO. AF_12/2014.</t>
  </si>
  <si>
    <t>TUBO, PVC, SOLDÁVEL, DN 25MM, INSTALADO EM PRUMADA DE ÁGUA - FORNECIMENTO E INSTALAÇÃO. AF_12/2014.</t>
  </si>
  <si>
    <r>
      <t>TUBO, PVC, SOLDÁVEL, DN 50MM, INSTALADO EM PRUMADA DE ÁGUA -</t>
    </r>
    <r>
      <rPr>
        <sz val="8"/>
        <color rgb="FF000000"/>
        <rFont val="Arial"/>
        <family val="2"/>
      </rPr>
      <t xml:space="preserve"> FORNECIMENTO E INSTALAÇÃO. AF_12/2014.</t>
    </r>
  </si>
  <si>
    <r>
      <t>FORNECIMENTO E INSTALAÇÃO DE CASTELO D'ÁGUA COM CAPACIDADE DE 30.000L, INCLUSIVE, FUNDAÇÃO, CONEXÕES E INSTALAÇÃO DO CONJ</t>
    </r>
    <r>
      <rPr>
        <sz val="8"/>
        <color rgb="FF000000"/>
        <rFont val="Arial"/>
        <family val="2"/>
      </rPr>
      <t>UNTO DE MOTOR-BOMBA, CONFORME PROJETO.</t>
    </r>
  </si>
  <si>
    <t>BOMBA CENTRÍFUGA, MONOFÁSICA, 0,5 CV OU 0,49 HP, HM 6 A 20 M, Q 1,2 A 8,3 M3/H - FORNECIMENTO E INSTALAÇÃO. AF_12/2020.</t>
  </si>
  <si>
    <t>CHAVE DE BOIA AUTOMÁTICA SUPERIOR/INFERIOR 15A/250V - FORNECIMENTO E INSTALAÇÃO. AF_12/2020.</t>
  </si>
  <si>
    <t xml:space="preserve">Cozinha, bwc, lavanderia, lactário, acesso A.S, </t>
  </si>
  <si>
    <t>Alimentação Creche I - sala 05 e 06</t>
  </si>
  <si>
    <t>Alimentação Creche I - sala 07 e 08</t>
  </si>
  <si>
    <t>Sanitários,WC adm/ Área de serviço/ Cozinha</t>
  </si>
  <si>
    <r>
      <t xml:space="preserve">Endereço: </t>
    </r>
    <r>
      <rPr>
        <sz val="10"/>
        <rFont val="Arial"/>
        <family val="2"/>
      </rPr>
      <t>LOT. LUAR DO SENHOR - TORITAMA - PE</t>
    </r>
  </si>
  <si>
    <r>
      <t xml:space="preserve">Data do orçamento: </t>
    </r>
    <r>
      <rPr>
        <sz val="10"/>
        <rFont val="Arial"/>
        <family val="2"/>
      </rPr>
      <t>(Setembro/2022)</t>
    </r>
  </si>
  <si>
    <r>
      <t>Endereço</t>
    </r>
    <r>
      <rPr>
        <sz val="11"/>
        <rFont val="Calibri"/>
        <family val="2"/>
        <scheme val="minor"/>
      </rPr>
      <t>: LOT. LUAR DO SENHOR - TORITAMA - PE</t>
    </r>
  </si>
  <si>
    <r>
      <t xml:space="preserve">Data do orçamento: </t>
    </r>
    <r>
      <rPr>
        <sz val="11"/>
        <rFont val="Calibri"/>
        <family val="2"/>
        <scheme val="minor"/>
      </rPr>
      <t>(Setembro/2022)</t>
    </r>
  </si>
  <si>
    <r>
      <t>Endereço</t>
    </r>
    <r>
      <rPr>
        <sz val="10"/>
        <rFont val="Arial"/>
        <family val="2"/>
      </rPr>
      <t>: LOT. LUAR DO SENHOR - TORITAMA - PE</t>
    </r>
  </si>
  <si>
    <t>Data do orçamento: (Setembro/2022)</t>
  </si>
  <si>
    <t>TUBO PVC, SÉRIE NORMAL, ESGOTO PREDIAL, DN 40MM, FORNECIDO E INSTALADO EM RAMAL DE DESCARGA OU RAMAL DE ESGOTO SANITÁRIO. AF_12/2014.</t>
  </si>
  <si>
    <r>
      <t>Endereço</t>
    </r>
    <r>
      <rPr>
        <sz val="8"/>
        <rFont val="Arial"/>
        <family val="2"/>
      </rPr>
      <t>: RUA PROJETADA 10 e 11 - LOT. LUAR DO SENHOR - TORITAMA - PE</t>
    </r>
  </si>
  <si>
    <t>Volume de acordo com o quadro RESUMO do projeto de terraplenagem, cálculo realizado através do soft "Civil 3D".</t>
  </si>
  <si>
    <t>Sapatas isolodas (BLOCOS INTERNOS)</t>
  </si>
  <si>
    <t>Lado esquerdo:</t>
  </si>
  <si>
    <r>
      <t>S</t>
    </r>
    <r>
      <rPr>
        <vertAlign val="subscript"/>
        <sz val="8"/>
        <rFont val="Arial"/>
        <family val="2"/>
      </rPr>
      <t>1</t>
    </r>
    <r>
      <rPr>
        <sz val="8"/>
        <rFont val="Arial"/>
        <family val="2"/>
      </rPr>
      <t xml:space="preserve"> = </t>
    </r>
  </si>
  <si>
    <r>
      <t>S</t>
    </r>
    <r>
      <rPr>
        <vertAlign val="subscript"/>
        <sz val="8"/>
        <rFont val="Arial"/>
        <family val="2"/>
      </rPr>
      <t>2</t>
    </r>
    <r>
      <rPr>
        <sz val="8"/>
        <rFont val="Arial"/>
        <family val="2"/>
      </rPr>
      <t xml:space="preserve"> = </t>
    </r>
  </si>
  <si>
    <t>Lado direito:</t>
  </si>
  <si>
    <r>
      <t>S</t>
    </r>
    <r>
      <rPr>
        <vertAlign val="subscript"/>
        <sz val="8"/>
        <rFont val="Arial"/>
        <family val="2"/>
      </rPr>
      <t>3</t>
    </r>
    <r>
      <rPr>
        <sz val="8"/>
        <rFont val="Arial"/>
        <family val="2"/>
      </rPr>
      <t xml:space="preserve"> = </t>
    </r>
  </si>
  <si>
    <r>
      <t>S</t>
    </r>
    <r>
      <rPr>
        <vertAlign val="subscript"/>
        <sz val="8"/>
        <rFont val="Arial"/>
        <family val="2"/>
      </rPr>
      <t>4</t>
    </r>
    <r>
      <rPr>
        <sz val="8"/>
        <rFont val="Arial"/>
        <family val="2"/>
      </rPr>
      <t xml:space="preserve"> = </t>
    </r>
  </si>
  <si>
    <t>Fundos:</t>
  </si>
  <si>
    <t>Frente:</t>
  </si>
  <si>
    <t>PLATÔ - 4 (C0TA: 409,50)</t>
  </si>
  <si>
    <t>PLATÔ - 3 (C0TA: 408,00)</t>
  </si>
  <si>
    <r>
      <t>S</t>
    </r>
    <r>
      <rPr>
        <vertAlign val="subscript"/>
        <sz val="8"/>
        <rFont val="Arial"/>
        <family val="2"/>
      </rPr>
      <t>5</t>
    </r>
    <r>
      <rPr>
        <sz val="8"/>
        <rFont val="Arial"/>
        <family val="2"/>
      </rPr>
      <t xml:space="preserve"> = </t>
    </r>
  </si>
  <si>
    <t>Frente (TRECHO 1):</t>
  </si>
  <si>
    <t>Frente (TRECHO 2):</t>
  </si>
  <si>
    <r>
      <t>S</t>
    </r>
    <r>
      <rPr>
        <vertAlign val="subscript"/>
        <sz val="8"/>
        <rFont val="Arial"/>
        <family val="2"/>
      </rPr>
      <t>6</t>
    </r>
    <r>
      <rPr>
        <sz val="8"/>
        <rFont val="Arial"/>
        <family val="2"/>
      </rPr>
      <t xml:space="preserve"> = </t>
    </r>
  </si>
  <si>
    <t>PLATÔ - 2 (C0TA: 406,50)</t>
  </si>
  <si>
    <t>PLATÔ - 1 (C0TA: 405,00)</t>
  </si>
  <si>
    <t>Vigas baldrames sobre os muros de pedra - 20x20 (perímetro de todos os muros)</t>
  </si>
  <si>
    <t>pilares do muro dos fundos da creche</t>
  </si>
  <si>
    <t>pilares do bloco C.7 (refeitorio)</t>
  </si>
  <si>
    <t>QUANTITATIVO EXTRAIDO DO PROJETO DE ESTRUTURA DE CONCRETO. - (Sapatas + Pilares e viga baldrame)</t>
  </si>
  <si>
    <t>QUANTITATIVO EXTRAIDO DO PROJETO DE ESTRUTURA DE CONCRETO.  - (Sapatas + Pilares e viga baldrame)</t>
  </si>
  <si>
    <t>Cinta de travamento (superior) - 15x15 (perímetro dos muros - frente / fundos / lateral, sobre a mureta de alvenaria)</t>
  </si>
  <si>
    <t>pilares dos fundos sobre o muro de pedra</t>
  </si>
  <si>
    <t>pilares da bloco C.7 (refeitorio)</t>
  </si>
  <si>
    <t>QUANTITATIVO EXTRAIDO DO PROJETO DE ESTRUTURA DE CONCRETO. - (Pilares e Vigas / Cintas)</t>
  </si>
  <si>
    <t>Cinta de travamento (superior) - 15x15 (perímetro - frente / fundos / lateral, sobre a mureta de alvenaria)</t>
  </si>
  <si>
    <t>92610 FABRICAÇÃO E INSTALAÇÃO DE TESOURA INTEIRA EM AÇO, VÃO DE 7 M, PARA TELHA ONDULADA DE FIBROCIMENTO, METÁLICA, PLÁSTICA OU TERMOACÚSTICA, INCLUSO IÇAMENTO. AF_12/2015 UN AS 1.528,69</t>
  </si>
  <si>
    <t>92608</t>
  </si>
  <si>
    <t>92610</t>
  </si>
  <si>
    <t>FABRICAÇÃO E INSTALAÇÃO DE TESOURA INTEIRA EM AÇO, VÃO DE 7 M, PARA TELHA ONDULADA DE FIBROCIMENTO, METÁLICA, PLÁSTICA OU TERMOACÚSTICA, INCLUSO IÇAMENTO. AF_12/2015.</t>
  </si>
  <si>
    <t>Tesouras: T-01 à T-05 (BLOCO C.10)</t>
  </si>
  <si>
    <t>Tesouras: T-01 à T-02 (BLOCO C.1)</t>
  </si>
  <si>
    <t>Tesouras: T-01 à T-05 (BLOCO C.6)</t>
  </si>
  <si>
    <t>Tesouras: T-01 à T-05 (BLOCO C.8)</t>
  </si>
  <si>
    <t>Tesouras: T-01 à T-05 (BLOCO C.9)</t>
  </si>
  <si>
    <t>92614 FABRICAÇÃO E INSTALAÇÃO DE TESOURA INTEIRA EM AÇO, VÃO DE 9 M, PARA TELHA ONDULADA DE FIBROCIMENTO, METÁLICA, PLÁSTICA OU TERMOACÚSTICA, INCLUSO IÇAMENTO. AF_12/2015 UN AS 1.947,72</t>
  </si>
  <si>
    <t>92614</t>
  </si>
  <si>
    <t>FABRICAÇÃO E INSTALAÇÃO DE TESOURA INTEIRA EM AÇO, VÃO DE 9 M, PARA TELHA ONDULADA DE FIBROCIMENTO, METÁLICA, PLÁSTICA OU TERMOACÚSTICA, INCLUSO IÇAMENTO. AF_12/2015.</t>
  </si>
  <si>
    <t>Tesouras: T-01 à T-07 (BLOCO C.2)</t>
  </si>
  <si>
    <t>Tesouras: T-01 à T-07 (BLOCO C.3)</t>
  </si>
  <si>
    <t>Tesouras: T-01 à T-07 (BLOCO C.5)</t>
  </si>
  <si>
    <t>Tesouras: T-01 à T-05 (BLOCO C.7)</t>
  </si>
  <si>
    <t>Tesouras: T-03 à T-07 (BLOCO C.1)</t>
  </si>
  <si>
    <t>Tesouras: T-01 à T-03 (BLOCO C.4)</t>
  </si>
  <si>
    <t>Calçada nas laterais do terreno, conforme projeto</t>
  </si>
  <si>
    <t>Calçada da frente e laterais do terreno, conforme projeto</t>
  </si>
  <si>
    <t>Fundos</t>
  </si>
  <si>
    <t>Laterais (direita e esquerda) - MURETA SOBRE MURO DE PEDRA</t>
  </si>
  <si>
    <t>Frente - MURETA SOBRE MURO DE PEDRA</t>
  </si>
  <si>
    <t>(MURO EXTERNO:</t>
  </si>
  <si>
    <t>Perímetro das paredes externas</t>
  </si>
  <si>
    <t>Bloco de cobertura C.1</t>
  </si>
  <si>
    <t>Bloco de cobertura C.2</t>
  </si>
  <si>
    <t>Bloco de cobertura C.3</t>
  </si>
  <si>
    <t>Bloco de cobertura C.4</t>
  </si>
  <si>
    <t>Bloco de cobertura C.3 e C.5</t>
  </si>
  <si>
    <t>Bloco de cobertura C.6</t>
  </si>
  <si>
    <t>Bloco de cobertura C.7</t>
  </si>
  <si>
    <t>Bloco de cobertura C.8 e C.9</t>
  </si>
  <si>
    <t>Bloco de cobertura C.10</t>
  </si>
  <si>
    <t>Bloco de cobertura C.5</t>
  </si>
  <si>
    <t>Bloco de cobertura C.8</t>
  </si>
  <si>
    <t>Bloco de cobertura C.9</t>
  </si>
  <si>
    <t>(MURO E MURETAS EXTERNO - demais lados da creche) - frente, laterais, fundos.</t>
  </si>
  <si>
    <r>
      <t xml:space="preserve">PAREDES INTERNAS E EXTERNAS DE CONCRETO/PVC (Quantitativo de acordo com o </t>
    </r>
    <r>
      <rPr>
        <b/>
        <u/>
        <sz val="8"/>
        <rFont val="Arial"/>
        <family val="2"/>
      </rPr>
      <t>ITEM 6.1.2</t>
    </r>
    <r>
      <rPr>
        <sz val="8"/>
        <rFont val="Arial"/>
        <family val="2"/>
      </rPr>
      <t>)</t>
    </r>
  </si>
  <si>
    <r>
      <t xml:space="preserve">PAREDES INTERNAS DE CONCRETO/PVC (Quantitativo de acordo com o </t>
    </r>
    <r>
      <rPr>
        <b/>
        <sz val="8"/>
        <rFont val="Arial"/>
        <family val="2"/>
      </rPr>
      <t>ITEM 6.1.2</t>
    </r>
    <r>
      <rPr>
        <sz val="8"/>
        <rFont val="Arial"/>
        <family val="2"/>
      </rPr>
      <t>)</t>
    </r>
  </si>
  <si>
    <t>DESCONTO DE PORTAS/JANELAS: (Interno)</t>
  </si>
  <si>
    <t xml:space="preserve">PAREDES EXTERNAS DE CONCRETO/PVC - (Quantitativo de acordo com o ITEM 6.1.2 - considerado as áreas acima da cerâmica 10x10cm) </t>
  </si>
  <si>
    <r>
      <t>Platibanda em Placa cimentícia (de acordo com o</t>
    </r>
    <r>
      <rPr>
        <b/>
        <sz val="8"/>
        <rFont val="Arial"/>
        <family val="2"/>
      </rPr>
      <t xml:space="preserve"> ITEM 9.8</t>
    </r>
    <r>
      <rPr>
        <sz val="8"/>
        <rFont val="Arial"/>
        <family val="2"/>
      </rPr>
      <t>)</t>
    </r>
  </si>
  <si>
    <r>
      <t xml:space="preserve">ÁREA DAS PAREDES COM MASSA CORRIDA E TEXTURA (de acordo com os </t>
    </r>
    <r>
      <rPr>
        <b/>
        <sz val="8"/>
        <rFont val="Arial"/>
        <family val="2"/>
      </rPr>
      <t>ITENS 11.2 e 11.2</t>
    </r>
    <r>
      <rPr>
        <sz val="8"/>
        <rFont val="Arial"/>
        <family val="2"/>
      </rPr>
      <t xml:space="preserve">) </t>
    </r>
  </si>
  <si>
    <r>
      <t>Estrutura metálica de cobertura (TODOS OS ELEMENTOS, TESOURAS, ESPAÇADORES, TERÇAS, ETC.)_Área de acordo com o</t>
    </r>
    <r>
      <rPr>
        <b/>
        <sz val="8"/>
        <rFont val="Arial"/>
        <family val="2"/>
      </rPr>
      <t xml:space="preserve"> ITEM 8.5</t>
    </r>
  </si>
  <si>
    <t>área (M²)</t>
  </si>
  <si>
    <r>
      <t xml:space="preserve">treliças de suportes para fixação das placas cimentícias_Área de acordo com o </t>
    </r>
    <r>
      <rPr>
        <b/>
        <sz val="8"/>
        <rFont val="Arial"/>
        <family val="2"/>
      </rPr>
      <t>ITEM 9.9</t>
    </r>
  </si>
  <si>
    <t>Rede coletora de águas pluviais</t>
  </si>
  <si>
    <t>Tubos de queda dos telhados</t>
  </si>
  <si>
    <t>Conforme planta de paginação de pisos</t>
  </si>
  <si>
    <t>C0924 CORRIMÃO EM TUBO DE AÇO INOX M 236,24</t>
  </si>
  <si>
    <t>C1448 GUARDA CORPO DE TUBO DE AÇO INOX M 132,98</t>
  </si>
  <si>
    <t>C1448</t>
  </si>
  <si>
    <t>GUARDA CORPO DE TUBO DE AÇO INOX.</t>
  </si>
  <si>
    <t>Escadas e rampas de acesso, conforme projeto</t>
  </si>
  <si>
    <t>C0924</t>
  </si>
  <si>
    <t>CORRIMÃO EM TUBO DE AÇO INOX.</t>
  </si>
  <si>
    <t>18.6</t>
  </si>
  <si>
    <t>18.7</t>
  </si>
  <si>
    <t>18.8</t>
  </si>
  <si>
    <t>89356 TUBO, PVC, SOLDÁVEL, DN 25MM, INSTALADO EM RAMAL OU SUB-RAMAL DE ÁGUA - FORNECIMENTO E INSTALAÇÃO. AF_06/2022 M CR 20,09</t>
  </si>
  <si>
    <t>89356</t>
  </si>
  <si>
    <t>TUBO, PVC, SOLDÁVEL, DN 25MM, INSTALADO EM RAMAL OU SUB-RAMAL DE ÁGUA - FORNECIMENTO E INSTALAÇÃO. AF_06/2022.</t>
  </si>
  <si>
    <t>Tubulação instalada para drenos dos equipamentos de ar-dicionado e ligados a rede de coleta de águas pluviais.</t>
  </si>
  <si>
    <t>18.9</t>
  </si>
  <si>
    <t>102990 CANALETA MEIA CANA PRÉ-MOLDADA DE CONCRETO (D = 30 CM) - FORNECIMENTO E INSTALAÇÃO. AF_08/2021 M AS 43,02</t>
  </si>
  <si>
    <t>102990</t>
  </si>
  <si>
    <t>CANALETA MEIA CANA PRÉ-MOLDADA DE CONCRETO (D = 30 CM) - FORNECIMENTO E INSTALAÇÃO. AF_08/2021.</t>
  </si>
  <si>
    <t>Canaleta instalada na base dos muros de pedras na parte interna para coleta das águas pluviais e dos drenos dos muros.</t>
  </si>
  <si>
    <t>94990 EXECUÇÃO DE PASSEIO (CALÇADA) OU PISO DE CONCRETO COM CONCRETO MOLDADO IN LOCO, FEITO EM OBRA, ACABAMENTO CONVENCIONAL, NÃO ARMADO. AF_08/2022 M3 CR 706,64</t>
  </si>
  <si>
    <t>94990</t>
  </si>
  <si>
    <t>EXECUÇÃO DE PASSEIO (CALÇADA) OU PISO DE CONCRETO COM CONCRETO MOLDADO IN LOCO, FEITO EM OBRA, ACABAMENTO CONVENCIONAL, NÃO ARMADO. AF_08/2022.</t>
  </si>
  <si>
    <t>QUANTITATIVO EXTRAIDO DE ARQUITETURA. (Considerado no cálculo da ferragem os vergalhões colocados na posição Vertical e Horizontal)</t>
  </si>
  <si>
    <t>5.12</t>
  </si>
  <si>
    <t>5.13</t>
  </si>
  <si>
    <t>5.14</t>
  </si>
  <si>
    <t>5.15</t>
  </si>
  <si>
    <t>5.16</t>
  </si>
  <si>
    <t>Caixa de areia</t>
  </si>
  <si>
    <t>Calçada e rampa de acesso</t>
  </si>
  <si>
    <t>Escadas na lateral da edificação</t>
  </si>
  <si>
    <t>Contorno do jardim interno no pátio</t>
  </si>
  <si>
    <t>Ramapas internas</t>
  </si>
  <si>
    <t>5502967 ESCAVAÇÃO EM MATERIAL DE 3ª CATEGORIA - RESISTÊNCIA À COMPRESSÃO ACIMA DE 110 MPA - COM ESCAVADEIRA E ROMPEDOR HIDRÁULICO 1.700 KG M³ 100,42</t>
  </si>
  <si>
    <t>101207</t>
  </si>
  <si>
    <t xml:space="preserve">5502967 </t>
  </si>
  <si>
    <t>ESCAVAÇÃO EM MATERIAL DE 3ª CATEGORIA - RESISTÊNCIA À COMPRESSÃO ACIMA DE 110 MPA - COM ESCAVADEIRA E ROMPEDOR HIDRÁULICO 1.700 KG.</t>
  </si>
  <si>
    <t xml:space="preserve">Volume de acordo com o quadro RESUMO do projeto de terraplenagem, cálculo realizado através do soft "Civil 3D". </t>
  </si>
  <si>
    <t>93588 TRANSPORTE COM CAMINHÃO BASCULANTE DE 10 M³, EM VIA URBANA EM LEITO NATURAL (UNIDADE: M3XKM). AF_07/2020 M3XKM AS 3,31</t>
  </si>
  <si>
    <t>93588</t>
  </si>
  <si>
    <t>TRANSPORTE COM CAMINHÃO BASCULANTE DE 10 M³, EM VIA URBANA EM LEITO NATURAL (UNIDADE: M3XKM). AF_07/2020.</t>
  </si>
  <si>
    <t>2.3</t>
  </si>
  <si>
    <t>2.4</t>
  </si>
  <si>
    <t>C2873 LOCAÇÃO DA OBRA COM AUXÍLIO TOPOGRÁFICO (ÁREA ATÉ 5000 M2) M2 0,28</t>
  </si>
  <si>
    <t>C2873</t>
  </si>
  <si>
    <t>LOCAÇÃO DA OBRA COM AUXÍLIO TOPOGRÁFICO (ÁREA ATÉ 5000 M2).</t>
  </si>
  <si>
    <t>3.4</t>
  </si>
  <si>
    <t>ENCARREGADO GERAL COM ENCARGOS COMPLEMENTARES</t>
  </si>
  <si>
    <r>
      <t xml:space="preserve">Tabelas de Referência: </t>
    </r>
    <r>
      <rPr>
        <sz val="8"/>
        <rFont val="Arial"/>
        <family val="2"/>
      </rPr>
      <t>SINAPI DESONERADA (agosto/22); SICRO-PE (04/2022); SEINFRA 027.1; ORSE (julho./2022)</t>
    </r>
  </si>
  <si>
    <t>102181 INSTALAÇÃO DE VIDRO TEMPERADO, E = 10 MM, ENCAIXADO EM PERFIL U. AF_01/2021_P M2 AS 487,80</t>
  </si>
  <si>
    <t>102181</t>
  </si>
  <si>
    <t>INSTALAÇÃO DE VIDRO TEMPERADO, E = 10 MM, ENCAIXADO EM PERFIL U. AF_01/2021_P.</t>
  </si>
  <si>
    <t>Área de vidro na parte superior do bloco C.4 (PATIO INTERNO)</t>
  </si>
  <si>
    <t>7.8</t>
  </si>
  <si>
    <t>Paredes do Refeitorio</t>
  </si>
  <si>
    <t>Parede do recreio coberto</t>
  </si>
  <si>
    <t xml:space="preserve"> COMP-0001 </t>
  </si>
  <si>
    <t xml:space="preserve"> 5502967 </t>
  </si>
  <si>
    <t>Escavação em material de 3ª categoria - resistência à compressão acima de 110 MPa - com escavadeira e rompedorhidráulico 1.700 kg</t>
  </si>
  <si>
    <t xml:space="preserve"> 2.3 </t>
  </si>
  <si>
    <t xml:space="preserve"> 93588 </t>
  </si>
  <si>
    <t>TRANSPORTE COM CAMINHÃO BASCULANTE DE 10 M³, EM VIA URBANA EM LEITO NATURAL (UNIDADE: M3XKM). AF_07/2020</t>
  </si>
  <si>
    <t>M3XKM</t>
  </si>
  <si>
    <t xml:space="preserve"> 2.4 </t>
  </si>
  <si>
    <t xml:space="preserve"> C2873 </t>
  </si>
  <si>
    <t>LOCAÇÃO DA OBRA COM AUXÍLIO TOPOGRÁFICO (ÁREA ATÉ 5000 M2)</t>
  </si>
  <si>
    <t xml:space="preserve"> COMP-00003 </t>
  </si>
  <si>
    <t xml:space="preserve"> 96538 </t>
  </si>
  <si>
    <t>FABRICAÇÃO, MONTAGEM E DESMONTAGEM DE FÔRMA PARA SAPATA, EM CHAPA DE MADEIRA COMPENSADA RESINADA, E=17 MM, 2 UTILIZAÇÕES. AF_06/2017</t>
  </si>
  <si>
    <t xml:space="preserve"> COMP-00004 </t>
  </si>
  <si>
    <t xml:space="preserve"> COMP-00005 </t>
  </si>
  <si>
    <t xml:space="preserve"> 7.8 </t>
  </si>
  <si>
    <t xml:space="preserve"> 102181 </t>
  </si>
  <si>
    <t>INSTALAÇÃO DE VIDRO TEMPERADO, E = 10 MM, ENCAIXADO EM PERFIL U. AF_01/2021_P</t>
  </si>
  <si>
    <t xml:space="preserve"> 92610 </t>
  </si>
  <si>
    <t>FABRICAÇÃO E INSTALAÇÃO DE TESOURA INTEIRA EM AÇO, VÃO DE 7 M, PARA TELHA ONDULADA DE FIBROCIMENTO, METÁLICA, PLÁSTICA OU TERMOACÚSTICA, INCLUSO IÇAMENTO. AF_12/2015</t>
  </si>
  <si>
    <t xml:space="preserve"> 92614 </t>
  </si>
  <si>
    <t>FABRICAÇÃO E INSTALAÇÃO DE TESOURA INTEIRA EM AÇO, VÃO DE 9 M, PARA TELHA ONDULADA DE FIBROCIMENTO, METÁLICA, PLÁSTICA OU TERMOACÚSTICA, INCLUSO IÇAMENTO. AF_12/2015</t>
  </si>
  <si>
    <t>EMBOÇO OU MASSA ÚNICA EM ARGAMASSA TRAÇO 1:2:8, PREPARO MANUAL, APLICADA MANUALMENTE EM PANOS CEGOS DE FACHADA (SEM PRESENÇA DE VÃOS), ESPESSURA DE 25 MM. AF_09/2022</t>
  </si>
  <si>
    <t xml:space="preserve"> 94990 </t>
  </si>
  <si>
    <t>EXECUÇÃO DE PASSEIO (CALÇADA) OU PISO DE CONCRETO COM CONCRETO MOLDADO IN LOCO, FEITO EM OBRA, ACABAMENTO CONVENCIONAL, NÃO ARMADO. AF_08/2022</t>
  </si>
  <si>
    <t xml:space="preserve"> 10.9 </t>
  </si>
  <si>
    <t xml:space="preserve"> COMP-0005 </t>
  </si>
  <si>
    <t>ENCHIMENTO DE AREIA PENEIRADA, LANÇAMENTO MANUAL</t>
  </si>
  <si>
    <t>TUBO, PVC, SOLDÁVEL, DN 32MM, INSTALADO EM PRUMADA DE ÁGUA - FORNECIMENTO E INSTALAÇÃO. AF_06/2022</t>
  </si>
  <si>
    <t>TUBO, PVC, SOLDÁVEL, DN 25MM, INSTALADO EM PRUMADA DE ÁGUA - FORNECIMENTO E INSTALAÇÃO. AF_06/2022</t>
  </si>
  <si>
    <t>TUBO, PVC, SOLDÁVEL, DN 50MM, INSTALADO EM PRUMADA DE ÁGUA - FORNECIMENTO E INSTALAÇÃO. AF_06/2022</t>
  </si>
  <si>
    <t xml:space="preserve"> COMP-00006 </t>
  </si>
  <si>
    <t>CAIXA SIFONADA, PVC, DN 100 X 100 X 50 MM, FORNECIDA E INSTALADA EM RAMAIS DE ENCAMINHAMENTO DE ÁGUA PLUVIAL. AF_06/2022</t>
  </si>
  <si>
    <t>TUBO PVC, SERIE NORMAL, ESGOTO PREDIAL, DN 100 MM, FORNECIDO E INSTALADO EM RAMAL DE DESCARGA OU RAMAL DE ESGOTO SANITÁRIO. AF_08/2022</t>
  </si>
  <si>
    <t xml:space="preserve"> 89711 </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</si>
  <si>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</si>
  <si>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</si>
  <si>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SÉRIE R, ÁGUA PLUVIAL, DN 150 MM, FORNECIDO E INSTALADO EM CONDUTORES VERTICAIS DE ÁGUAS PLUVIAIS. AF_06/2022</t>
  </si>
  <si>
    <t>TUBO PVC, SÉRIE R, ÁGUA PLUVIAL, DN 100 MM, FORNECIDO E INSTALADO EM RAMAL DE ENCAMINHAMENTO. AF_06/2022</t>
  </si>
  <si>
    <t>JOELHO 45 GRAUS, PVC, SERIE R, ÁGUA PLUVIAL, DN 100 MM, JUNTA ELÁSTICA, FORNECIDO E INSTALADO EM RAMAL DE ENCAMINHAMENTO. AF_06/2022</t>
  </si>
  <si>
    <t xml:space="preserve"> 95545 </t>
  </si>
  <si>
    <t>SABONETEIRA DE PAREDE EM METAL CROMADO, INCLUSO FIXAÇÃO. AF_01/2020</t>
  </si>
  <si>
    <t xml:space="preserve"> 18.6 </t>
  </si>
  <si>
    <t xml:space="preserve"> C1448 </t>
  </si>
  <si>
    <t>GUARDA CORPO DE TUBO DE AÇO INOX</t>
  </si>
  <si>
    <t xml:space="preserve"> 18.7 </t>
  </si>
  <si>
    <t xml:space="preserve"> C0924 </t>
  </si>
  <si>
    <t>CORRIMÃO EM TUBO DE AÇO INOX</t>
  </si>
  <si>
    <t xml:space="preserve"> 18.8 </t>
  </si>
  <si>
    <t xml:space="preserve"> 89356 </t>
  </si>
  <si>
    <t>TUBO, PVC, SOLDÁVEL, DN 25MM, INSTALADO EM RAMAL OU SUB-RAMAL DE ÁGUA - FORNECIMENTO E INSTALAÇÃO. AF_06/2022</t>
  </si>
  <si>
    <t xml:space="preserve"> 18.9 </t>
  </si>
  <si>
    <t xml:space="preserve"> 102990 </t>
  </si>
  <si>
    <t>CANALETA MEIA CANA PRÉ-MOLDADA DE CONCRETO (D = 30 CM) - FORNECIMENTO E INSTALAÇÃO. AF_08/2021</t>
  </si>
  <si>
    <t>Total Geral</t>
  </si>
  <si>
    <t xml:space="preserve"> 90776 </t>
  </si>
  <si>
    <t>LOCACAO DE ANDAIME METALICO TUBULAR DE ENCAIXE, TIPO DE TORRE, CADA PAINEL COM LARGURA DE 1 ATE 1,5 M E ALTURA DE *1,00* M, INCLUINDO DIAGONAL, BARRAS DE LIGACAO, SAPATAS OU RODIZIOS E DEMAIS ITENS NECESSARIOS A MONTAGEM (NAO INCLUI INSTALACAO)</t>
  </si>
  <si>
    <t>Basculante em alumínio, cor N/P/B, tipo convencional ou pivotante, com comando, exclusive vidro m2</t>
  </si>
  <si>
    <t>Cumeeira termoacustica m</t>
  </si>
  <si>
    <t>Cordão delimitador para junta de placa cimentícia m</t>
  </si>
  <si>
    <t>Adesivo selante impermeável PU Selamax Brasilit ou similar kg</t>
  </si>
  <si>
    <t>240 DIAS</t>
  </si>
  <si>
    <t>270 DIAS</t>
  </si>
  <si>
    <t>100,00%
86.617,50</t>
  </si>
  <si>
    <t>12,00%
10.394,10</t>
  </si>
  <si>
    <t>11,00%
9.527,93</t>
  </si>
  <si>
    <t>100,00%
298.516,42</t>
  </si>
  <si>
    <t>100,00%
8.436,00</t>
  </si>
  <si>
    <t>100,00%
227.977,76</t>
  </si>
  <si>
    <t>100,00%
3.192,10</t>
  </si>
  <si>
    <t>100,00%
58.910,56</t>
  </si>
  <si>
    <t>100,00%
20.351,30</t>
  </si>
  <si>
    <t>33,82%
6.883,17</t>
  </si>
  <si>
    <t>66,18%
13.468,13</t>
  </si>
  <si>
    <t>100,00%
4.237,92</t>
  </si>
  <si>
    <t>100,00%
13.468,13</t>
  </si>
  <si>
    <t>100,00%
1.949,25</t>
  </si>
  <si>
    <t>100,00%
696,00</t>
  </si>
  <si>
    <t>100,00%
212.001,31</t>
  </si>
  <si>
    <t>96,82%
205.262,50</t>
  </si>
  <si>
    <t>3,18%
6.738,82</t>
  </si>
  <si>
    <t>100,00%
166.081,74</t>
  </si>
  <si>
    <t>100,00%
32.229,40</t>
  </si>
  <si>
    <t>100,00%
13.477,63</t>
  </si>
  <si>
    <t>50,00%
6.738,82</t>
  </si>
  <si>
    <t>100,00%
212,54</t>
  </si>
  <si>
    <t>100,00%
690.948,83</t>
  </si>
  <si>
    <t>4,55%
31.436,00</t>
  </si>
  <si>
    <t>22,92%
158.340,91</t>
  </si>
  <si>
    <t>59,95%
414.218,16</t>
  </si>
  <si>
    <t>12,58%
86.953,76</t>
  </si>
  <si>
    <t>100,00%
1.160,89</t>
  </si>
  <si>
    <t>100,00%
21.770,54</t>
  </si>
  <si>
    <t>100,00%
314.360,03</t>
  </si>
  <si>
    <t>10,00%
31.436,00</t>
  </si>
  <si>
    <t>50,00%
157.180,02</t>
  </si>
  <si>
    <t>40,00%
125.744,01</t>
  </si>
  <si>
    <t>100,00%
35.177,72</t>
  </si>
  <si>
    <t>100,00%
8.671,76</t>
  </si>
  <si>
    <t>100,00%
3.489,31</t>
  </si>
  <si>
    <t>100,00%
1.622,55</t>
  </si>
  <si>
    <t>100,00%
6.869,60</t>
  </si>
  <si>
    <t>50,00%
3.434,80</t>
  </si>
  <si>
    <t>100,00%
6.135,48</t>
  </si>
  <si>
    <t>50,00%
3.067,74</t>
  </si>
  <si>
    <t>100,00%
5.026,35</t>
  </si>
  <si>
    <t>100,00%
3.154,83</t>
  </si>
  <si>
    <t>100,00%
21.467,19</t>
  </si>
  <si>
    <t>50,00%
10.733,60</t>
  </si>
  <si>
    <t>100,00%
122.607,33</t>
  </si>
  <si>
    <t>100,00%
132.569,55</t>
  </si>
  <si>
    <t>50,00%
66.284,78</t>
  </si>
  <si>
    <t>100,00%
4.939,78</t>
  </si>
  <si>
    <t>50,00%
2.469,89</t>
  </si>
  <si>
    <t>100,00%
1.925,92</t>
  </si>
  <si>
    <t>50,00%
962,96</t>
  </si>
  <si>
    <t>0,00%
1.683.573,76</t>
  </si>
  <si>
    <t>100,00%
1.577.030,44</t>
  </si>
  <si>
    <t>47,66%
751.661,44</t>
  </si>
  <si>
    <t>46,45%
732.601,25</t>
  </si>
  <si>
    <t>3,36%
52.978,79</t>
  </si>
  <si>
    <t>2,52%
39.788,97</t>
  </si>
  <si>
    <t>100,00%
19.060,19</t>
  </si>
  <si>
    <t>100,00%
1.360.539,38</t>
  </si>
  <si>
    <t>50,00%
680.269,69</t>
  </si>
  <si>
    <t>100,00%
75.303,68</t>
  </si>
  <si>
    <t>50,00%
37.651,84</t>
  </si>
  <si>
    <t>100,00%
29.359,44</t>
  </si>
  <si>
    <t>50,00%
14.679,72</t>
  </si>
  <si>
    <t>100,00%
13.189,82</t>
  </si>
  <si>
    <t>100,00%
79.577,93</t>
  </si>
  <si>
    <t>50,00%
39.788,97</t>
  </si>
  <si>
    <t>100,00%
106.543,32</t>
  </si>
  <si>
    <t>18,45%
19.653,31</t>
  </si>
  <si>
    <t>61,28%
65.287,41</t>
  </si>
  <si>
    <t>20,28%
21.602,60</t>
  </si>
  <si>
    <t>100,00%
9.439,21</t>
  </si>
  <si>
    <t>100,00%
43.205,20</t>
  </si>
  <si>
    <t>50,00%
21.602,60</t>
  </si>
  <si>
    <t>100,00%
19.329,93</t>
  </si>
  <si>
    <t>100,00%
5.237,21</t>
  </si>
  <si>
    <t>100,00%
4.078,62</t>
  </si>
  <si>
    <t>100,00%
6.337,08</t>
  </si>
  <si>
    <t>100,00%
7.076,91</t>
  </si>
  <si>
    <t>100,00%
4.103,72</t>
  </si>
  <si>
    <t>100,00%
1.599,96</t>
  </si>
  <si>
    <t>100,00%
126.781,89</t>
  </si>
  <si>
    <t>38,46%
48.762,15</t>
  </si>
  <si>
    <t>38,86%
49.265,80</t>
  </si>
  <si>
    <t>22,68%
28.753,94</t>
  </si>
  <si>
    <t>100,00%
18.374,04</t>
  </si>
  <si>
    <t>100,00%
24.836,80</t>
  </si>
  <si>
    <t>50,00%
12.418,40</t>
  </si>
  <si>
    <t>100,00%
4.707,07</t>
  </si>
  <si>
    <t>100,00%
22.153,48</t>
  </si>
  <si>
    <t>100,00%
14.190,27</t>
  </si>
  <si>
    <t>100,00%
18.473,36</t>
  </si>
  <si>
    <t>100,00%
11.440,90</t>
  </si>
  <si>
    <t>100,00%
12.605,97</t>
  </si>
  <si>
    <t>100,00%
1.132.272,59</t>
  </si>
  <si>
    <t>22,49%
254.665,88</t>
  </si>
  <si>
    <t>33,24%
376.326,85</t>
  </si>
  <si>
    <t>29,29%
331.594,57</t>
  </si>
  <si>
    <t>13,36%
151.264,90</t>
  </si>
  <si>
    <t>1,63%
18.420,41</t>
  </si>
  <si>
    <t>100,00%
8.699,60</t>
  </si>
  <si>
    <t>100,00%
32.921,18</t>
  </si>
  <si>
    <t>100,00%
64.151,62</t>
  </si>
  <si>
    <t>100,00%
22.495,68</t>
  </si>
  <si>
    <t>100,00%
137.847,21</t>
  </si>
  <si>
    <t>50,00%
68.923,61</t>
  </si>
  <si>
    <t>100,00%
608.129,05</t>
  </si>
  <si>
    <t>20,00%
121.625,81</t>
  </si>
  <si>
    <t>40,00%
243.251,62</t>
  </si>
  <si>
    <t>100,00%
41.994,96</t>
  </si>
  <si>
    <t>100,00%
5.108,84</t>
  </si>
  <si>
    <t>100,00%
82.478,29</t>
  </si>
  <si>
    <t>50,00%
41.239,15</t>
  </si>
  <si>
    <t>100,00%
67.478,38</t>
  </si>
  <si>
    <t>100,00%
42.547,37</t>
  </si>
  <si>
    <t>100,00%
18.420,41</t>
  </si>
  <si>
    <t>100,00%
436.504,16</t>
  </si>
  <si>
    <t>5,01%
21.869,77</t>
  </si>
  <si>
    <t>12,54%
54.716,23</t>
  </si>
  <si>
    <t>49,22%
214.857,19</t>
  </si>
  <si>
    <t>33,23%
145.060,98</t>
  </si>
  <si>
    <t>100,00%
48.650,86</t>
  </si>
  <si>
    <t>50,00%
24.325,43</t>
  </si>
  <si>
    <t>100,00%
62.773,90</t>
  </si>
  <si>
    <t>20,00%
12.554,78</t>
  </si>
  <si>
    <t>60,00%
37.664,34</t>
  </si>
  <si>
    <t>100,00%
12.626,05</t>
  </si>
  <si>
    <t>20,00%
2.525,21</t>
  </si>
  <si>
    <t>60,00%
7.575,63</t>
  </si>
  <si>
    <t>100,00%
2.806,95</t>
  </si>
  <si>
    <t>100,00%
19.062,82</t>
  </si>
  <si>
    <t>100,00%
25.493,89</t>
  </si>
  <si>
    <t>50,00%
12.746,95</t>
  </si>
  <si>
    <t>100,00%
5.127,72</t>
  </si>
  <si>
    <t>50,00%
2.563,86</t>
  </si>
  <si>
    <t>100,00%
83.030,54</t>
  </si>
  <si>
    <t>50,00%
41.515,27</t>
  </si>
  <si>
    <t>100,00%
176.931,43</t>
  </si>
  <si>
    <t>50,00%
88.465,72</t>
  </si>
  <si>
    <t>100,00%
393.434,48</t>
  </si>
  <si>
    <t>3,15%
12.389,56</t>
  </si>
  <si>
    <t>17,00%
66.866,09</t>
  </si>
  <si>
    <t>50,99%
200.598,26</t>
  </si>
  <si>
    <t>19,01%
74.806,24</t>
  </si>
  <si>
    <t>9,86%
38.774,33</t>
  </si>
  <si>
    <t>100,00%
116.653,67</t>
  </si>
  <si>
    <t>20,00%
23.330,73</t>
  </si>
  <si>
    <t>60,00%
69.992,20</t>
  </si>
  <si>
    <t>100,00%
217.676,77</t>
  </si>
  <si>
    <t>20,00%
43.535,35</t>
  </si>
  <si>
    <t>60,00%
130.606,06</t>
  </si>
  <si>
    <t>100,00%
2.877,17</t>
  </si>
  <si>
    <t>100,00%
6.486,24</t>
  </si>
  <si>
    <t>100,00%
5.903,32</t>
  </si>
  <si>
    <t>100,00%
11.253,52</t>
  </si>
  <si>
    <t>100,00%
20.239,71</t>
  </si>
  <si>
    <t>100,00%
7.940,15</t>
  </si>
  <si>
    <t>100,00%
4.403,93</t>
  </si>
  <si>
    <t>100,00%
339.471,41</t>
  </si>
  <si>
    <t>28,04%
95.189,78</t>
  </si>
  <si>
    <t>16,75%
56.874,82</t>
  </si>
  <si>
    <t>5,64%
19.157,48</t>
  </si>
  <si>
    <t>21,66%
73.532,33</t>
  </si>
  <si>
    <t>27,90%
94.717,01</t>
  </si>
  <si>
    <t>100,00%
13.478,49</t>
  </si>
  <si>
    <t>100,00%
37.609,20</t>
  </si>
  <si>
    <t>50,00%
18.804,60</t>
  </si>
  <si>
    <t>100,00%
44.183,53</t>
  </si>
  <si>
    <t>50,00%
22.091,77</t>
  </si>
  <si>
    <t>100,00%
49.760,06</t>
  </si>
  <si>
    <t>100,00%
62.663,04</t>
  </si>
  <si>
    <t>50,00%
31.331,52</t>
  </si>
  <si>
    <t>100,00%
127.716,51</t>
  </si>
  <si>
    <t>50,00%
63.858,26</t>
  </si>
  <si>
    <t>20,00%
25.543,30</t>
  </si>
  <si>
    <t>15,00%
19.157,48</t>
  </si>
  <si>
    <t>100,00%
1.435,36</t>
  </si>
  <si>
    <t>100,00%
2.625,22</t>
  </si>
  <si>
    <t>100,00%
189.269,59</t>
  </si>
  <si>
    <t>8,50%
16.083,20</t>
  </si>
  <si>
    <t>90,74%
171.746,14</t>
  </si>
  <si>
    <t>0,76%
1.440,25</t>
  </si>
  <si>
    <t>100,00%
10.605,43</t>
  </si>
  <si>
    <t>100,00%
572,10</t>
  </si>
  <si>
    <t>100,00%
772,05</t>
  </si>
  <si>
    <t>100,00%
1.325,30</t>
  </si>
  <si>
    <t>100,00%
811,40</t>
  </si>
  <si>
    <t>100,00%
1.996,92</t>
  </si>
  <si>
    <t>100,00%
171.746,14</t>
  </si>
  <si>
    <t>100,00%
1.250,21</t>
  </si>
  <si>
    <t>100,00%
190,04</t>
  </si>
  <si>
    <t>100,00%
50.566,21</t>
  </si>
  <si>
    <t>81,87%
41.398,51</t>
  </si>
  <si>
    <t>18,13%
9.167,70</t>
  </si>
  <si>
    <t>100,00%
19.332,88</t>
  </si>
  <si>
    <t>100,00%
864,36</t>
  </si>
  <si>
    <t>100,00%
10.496,37</t>
  </si>
  <si>
    <t>100,00%
5.048,49</t>
  </si>
  <si>
    <t>100,00%
5.212,57</t>
  </si>
  <si>
    <t>100,00%
443,84</t>
  </si>
  <si>
    <t>100,00%
9.167,70</t>
  </si>
  <si>
    <t>100,00%
49.304,48</t>
  </si>
  <si>
    <t>33,91%
16.720,80</t>
  </si>
  <si>
    <t>66,09%
32.583,68</t>
  </si>
  <si>
    <t>100,00%
3.119,75</t>
  </si>
  <si>
    <t>100,00%
17.144,78</t>
  </si>
  <si>
    <t>100,00%
13.381,20</t>
  </si>
  <si>
    <t>100,00%
3.339,60</t>
  </si>
  <si>
    <t>100,00%
1.751,53</t>
  </si>
  <si>
    <t>100,00%
10.567,62</t>
  </si>
  <si>
    <t>100,00%
22.835,96</t>
  </si>
  <si>
    <t>8,81%
2.012,12</t>
  </si>
  <si>
    <t>91,19%
20.823,84</t>
  </si>
  <si>
    <t>100,00%
1.298,93</t>
  </si>
  <si>
    <t>100,00%
1.726,05</t>
  </si>
  <si>
    <t>100,00%
5.049,12</t>
  </si>
  <si>
    <t>100,00%
2.819,68</t>
  </si>
  <si>
    <t>100,00%
2.103,56</t>
  </si>
  <si>
    <t>100,00%
1.020,12</t>
  </si>
  <si>
    <t>100,00%
976,92</t>
  </si>
  <si>
    <t>100,00%
636,48</t>
  </si>
  <si>
    <t>100,00%
454,71</t>
  </si>
  <si>
    <t>100,00%
413,35</t>
  </si>
  <si>
    <t>100,00%
770,00</t>
  </si>
  <si>
    <t>100,00%
311,32</t>
  </si>
  <si>
    <t>100,00%
1.670,68</t>
  </si>
  <si>
    <t>100,00%
871,98</t>
  </si>
  <si>
    <t>100,00%
992,00</t>
  </si>
  <si>
    <t>100,00%
124,04</t>
  </si>
  <si>
    <t>100,00%
114,66</t>
  </si>
  <si>
    <t>100,00%
1.482,36</t>
  </si>
  <si>
    <t>100,00%
164.289,35</t>
  </si>
  <si>
    <t>23,86%
39.203,00</t>
  </si>
  <si>
    <t>15,21%
24.986,00</t>
  </si>
  <si>
    <t>21,90%
35.984,50</t>
  </si>
  <si>
    <t>14,92%
24.519,50</t>
  </si>
  <si>
    <t>15,72%
25.829,53</t>
  </si>
  <si>
    <t>8,38%
13.766,82</t>
  </si>
  <si>
    <t>100,00%
2.019,20</t>
  </si>
  <si>
    <t>100,00%
2.555,13</t>
  </si>
  <si>
    <t>100,00%
766,90</t>
  </si>
  <si>
    <t>100,00%
2.857,68</t>
  </si>
  <si>
    <t>100,00%
660,50</t>
  </si>
  <si>
    <t>100,00%
577,55</t>
  </si>
  <si>
    <t>100,00%
4.588,00</t>
  </si>
  <si>
    <t>100,00%
5.415,00</t>
  </si>
  <si>
    <t>100,00%
5.776,00</t>
  </si>
  <si>
    <t>100,00%
6.048,00</t>
  </si>
  <si>
    <t>50,00%
3.024,00</t>
  </si>
  <si>
    <t>100,00%
5.130,00</t>
  </si>
  <si>
    <t>100,00%
6.183,00</t>
  </si>
  <si>
    <t>100,00%
2.544,10</t>
  </si>
  <si>
    <t>100,00%
10.912,00</t>
  </si>
  <si>
    <t>50,00%
5.456,00</t>
  </si>
  <si>
    <t>100,00%
11.788,50</t>
  </si>
  <si>
    <t>50,00%
5.894,25</t>
  </si>
  <si>
    <t>100,00%
12.852,00</t>
  </si>
  <si>
    <t>50,00%
6.426,00</t>
  </si>
  <si>
    <t>100,00%
13.486,50</t>
  </si>
  <si>
    <t>50,00%
6.743,25</t>
  </si>
  <si>
    <t>100,00%
2.710,40</t>
  </si>
  <si>
    <t>100,00%
4.972,80</t>
  </si>
  <si>
    <t>100,00%
225,80</t>
  </si>
  <si>
    <t>100,00%
771,82</t>
  </si>
  <si>
    <t>100,00%
1.443,90</t>
  </si>
  <si>
    <t>100,00%
395,34</t>
  </si>
  <si>
    <t>100,00%
1.851,68</t>
  </si>
  <si>
    <t>100,00%
22.427,48</t>
  </si>
  <si>
    <t>50,00%
11.213,74</t>
  </si>
  <si>
    <t>100,00%
701,40</t>
  </si>
  <si>
    <t>100,00%
62.401,75</t>
  </si>
  <si>
    <t>50,05%
31.231,66</t>
  </si>
  <si>
    <t>44,37%
27.684,58</t>
  </si>
  <si>
    <t>5,59%
3.485,52</t>
  </si>
  <si>
    <t>100,00%
13.170,52</t>
  </si>
  <si>
    <t>50,00%
6.585,26</t>
  </si>
  <si>
    <t>100,00%
945,63</t>
  </si>
  <si>
    <t>50,00%
472,82</t>
  </si>
  <si>
    <t>100,00%
1.881,00</t>
  </si>
  <si>
    <t>50,00%
940,50</t>
  </si>
  <si>
    <t>100,00%
16.374,00</t>
  </si>
  <si>
    <t>100,00%
19.830,15</t>
  </si>
  <si>
    <t>100,00%
1.676,88</t>
  </si>
  <si>
    <t>100,00%
3.312,00</t>
  </si>
  <si>
    <t>100,00%
305.061,82</t>
  </si>
  <si>
    <t>29,88%
91.157,65</t>
  </si>
  <si>
    <t>49,13%
149.889,84</t>
  </si>
  <si>
    <t>20,98%
64.014,33</t>
  </si>
  <si>
    <t>100,00%
1.977,91</t>
  </si>
  <si>
    <t>100,00%
52.923,30</t>
  </si>
  <si>
    <t>100,00%
3.412,32</t>
  </si>
  <si>
    <t>100,00%
170.327,50</t>
  </si>
  <si>
    <t>50,00%
85.163,75</t>
  </si>
  <si>
    <t>100,00%
32.878,12</t>
  </si>
  <si>
    <t>100,00%
15.299,58</t>
  </si>
  <si>
    <t>100,00%
16.548,39</t>
  </si>
  <si>
    <t>100,00%
5.700,80</t>
  </si>
  <si>
    <t>100,00%
5.993,90</t>
  </si>
  <si>
    <t>100,00%
7.875,30</t>
  </si>
  <si>
    <t>5,54%</t>
  </si>
  <si>
    <t>6,16%</t>
  </si>
  <si>
    <t>6,86%</t>
  </si>
  <si>
    <t>14,65%</t>
  </si>
  <si>
    <t>19,58%</t>
  </si>
  <si>
    <t>11,54%</t>
  </si>
  <si>
    <t>15,61%</t>
  </si>
  <si>
    <t>15,08%</t>
  </si>
  <si>
    <t>4,98%</t>
  </si>
  <si>
    <t>347.229,69</t>
  </si>
  <si>
    <t>386.599,46</t>
  </si>
  <si>
    <t>430.484,90</t>
  </si>
  <si>
    <t>918.577,78</t>
  </si>
  <si>
    <t>1.228.365,18</t>
  </si>
  <si>
    <t>723.513,67</t>
  </si>
  <si>
    <t>979.001,77</t>
  </si>
  <si>
    <t>945.670,97</t>
  </si>
  <si>
    <t>312.634,70</t>
  </si>
  <si>
    <t>Porcentagem Acumulado</t>
  </si>
  <si>
    <t>11,7%</t>
  </si>
  <si>
    <t>18,56%</t>
  </si>
  <si>
    <t>33,21%</t>
  </si>
  <si>
    <t>52,79%</t>
  </si>
  <si>
    <t>64,33%</t>
  </si>
  <si>
    <t>79,94%</t>
  </si>
  <si>
    <t>95,02%</t>
  </si>
  <si>
    <t>Custo Acumulado</t>
  </si>
  <si>
    <t>733.829,14</t>
  </si>
  <si>
    <t>1.164.314,05</t>
  </si>
  <si>
    <t>2.082.891,83</t>
  </si>
  <si>
    <t>3.311.257,00</t>
  </si>
  <si>
    <t>4.034.770,67</t>
  </si>
  <si>
    <t>5.013.772,44</t>
  </si>
  <si>
    <t>5.959.443,41</t>
  </si>
  <si>
    <t>6.272.078,11</t>
  </si>
  <si>
    <t>Porcentagem (MÊS):</t>
  </si>
  <si>
    <t>Custo (MÊS):</t>
  </si>
  <si>
    <t>(SEIS MILHÕES, DUZENTOS E SETENTA E DOIS MIL, SETENTA E OITO REAIS E ONZA CENTAVOS)</t>
  </si>
  <si>
    <r>
      <t>Tabelas de Referência:</t>
    </r>
    <r>
      <rPr>
        <sz val="10"/>
        <rFont val="Arial"/>
        <family val="2"/>
      </rPr>
      <t xml:space="preserve"> SINAPI DESONERADA (agosto/22); SICRO-PE (04/2022); SEINFRA 027.1; ORSE (julho./2022)</t>
    </r>
  </si>
  <si>
    <t>SINAPI DESONERADA (agosto/22); SICRO-PE (04/2022); SEINFRA 027.1; ORSE (julho./2022)</t>
  </si>
  <si>
    <r>
      <t xml:space="preserve">FABRICAÇÃO E INSTALAÇÃO DE TESOURA INTEIRA EM AÇO, VÃO DE 6 M A 10M , PARA TELHA ONDULADA DE FIBROCIMENTO, METÁLICA, PLÁSTICA OU TERMOACÚSTICA, INCLUSO IÇAMENTO. AF_12/2015 </t>
    </r>
    <r>
      <rPr>
        <b/>
        <sz val="9"/>
        <rFont val="Arial"/>
        <family val="2"/>
      </rPr>
      <t>(SOMA DOS ITENS: 8.1 à 8.4).</t>
    </r>
  </si>
</sst>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 #,##0.00_);_(* \(#,##0.00\);_(* &quot;-&quot;??_);_(@_)"/>
    <numFmt numFmtId="165" formatCode="_-* #,##0.000_-;\-* #,##0.000_-;_-* &quot;-&quot;??_-;_-@_-"/>
    <numFmt numFmtId="166" formatCode="_(&quot;R$ &quot;* #,##0.00_);_(&quot;R$ &quot;* \(#,##0.00\);_(&quot;R$ &quot;* \-??_);_(@_)"/>
    <numFmt numFmtId="167" formatCode="General;General"/>
    <numFmt numFmtId="168" formatCode="[$-F800]dddd\,\ mmmm\ dd\,\ yyyy"/>
    <numFmt numFmtId="169" formatCode="dd&quot; de &quot;mmmm&quot; de &quot;yyyy"/>
    <numFmt numFmtId="170" formatCode="#,##0.0000000"/>
    <numFmt numFmtId="171" formatCode="#,##0.00\ %"/>
  </numFmts>
  <fonts count="55">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8"/>
      <name val="Arial"/>
      <family val="2"/>
    </font>
    <font>
      <b/>
      <sz val="8"/>
      <name val="Arial"/>
      <family val="2"/>
    </font>
    <font>
      <sz val="8"/>
      <color theme="1"/>
      <name val="Arial"/>
      <family val="2"/>
    </font>
    <font>
      <sz val="8"/>
      <name val="Arial"/>
      <family val="2"/>
    </font>
    <font>
      <b/>
      <sz val="14"/>
      <name val="Arial"/>
      <family val="2"/>
    </font>
    <font>
      <b/>
      <sz val="8"/>
      <color theme="1"/>
      <name val="Arial"/>
      <family val="2"/>
    </font>
    <font>
      <sz val="8"/>
      <name val="Arial1"/>
    </font>
    <font>
      <b/>
      <sz val="8"/>
      <color rgb="FFFF0000"/>
      <name val="Arial"/>
      <family val="2"/>
    </font>
    <font>
      <b/>
      <sz val="12"/>
      <name val="Arial"/>
      <family val="2"/>
    </font>
    <font>
      <b/>
      <sz val="10"/>
      <color indexed="12"/>
      <name val="Arial"/>
      <family val="2"/>
    </font>
    <font>
      <sz val="9"/>
      <name val="Arial"/>
      <family val="2"/>
    </font>
    <font>
      <sz val="10"/>
      <name val="Calibri"/>
      <family val="2"/>
    </font>
    <font>
      <sz val="8"/>
      <name val="Calibri"/>
      <family val="2"/>
    </font>
    <font>
      <b/>
      <sz val="11"/>
      <name val="Arial"/>
      <family val="2"/>
    </font>
    <font>
      <sz val="11"/>
      <name val="Arial"/>
      <family val="2"/>
    </font>
    <font>
      <sz val="10"/>
      <color indexed="10"/>
      <name val="Arial"/>
      <family val="2"/>
    </font>
    <font>
      <u/>
      <sz val="10"/>
      <name val="Arial"/>
      <family val="2"/>
    </font>
    <font>
      <b/>
      <sz val="9"/>
      <name val="Arial"/>
      <family val="2"/>
    </font>
    <font>
      <sz val="10"/>
      <color theme="1"/>
      <name val="Calibri"/>
      <family val="2"/>
      <scheme val="minor"/>
    </font>
    <font>
      <sz val="9"/>
      <color theme="1"/>
      <name val="Arial"/>
      <family val="2"/>
    </font>
    <font>
      <sz val="8"/>
      <color rgb="FFFF0000"/>
      <name val="Arial"/>
      <family val="2"/>
    </font>
    <font>
      <i/>
      <sz val="8"/>
      <color rgb="FFFF0000"/>
      <name val="Arial"/>
      <family val="2"/>
    </font>
    <font>
      <sz val="8"/>
      <name val="Calibri"/>
      <family val="2"/>
      <scheme val="minor"/>
    </font>
    <font>
      <b/>
      <sz val="16"/>
      <name val="Arial"/>
      <family val="2"/>
    </font>
    <font>
      <b/>
      <sz val="9"/>
      <color theme="1"/>
      <name val="Arial"/>
      <family val="2"/>
    </font>
    <font>
      <b/>
      <sz val="14"/>
      <color theme="1"/>
      <name val="Calibri"/>
      <family val="2"/>
      <scheme val="minor"/>
    </font>
    <font>
      <b/>
      <sz val="10"/>
      <color theme="1"/>
      <name val="Calibri"/>
      <family val="2"/>
      <scheme val="minor"/>
    </font>
    <font>
      <b/>
      <sz val="12"/>
      <color indexed="10"/>
      <name val="Arial"/>
      <family val="2"/>
    </font>
    <font>
      <i/>
      <sz val="12"/>
      <name val="Calibri"/>
      <family val="2"/>
    </font>
    <font>
      <i/>
      <u/>
      <sz val="12"/>
      <name val="Calibri"/>
      <family val="2"/>
    </font>
    <font>
      <sz val="8"/>
      <color rgb="FF000000"/>
      <name val="Arial"/>
      <family val="1"/>
    </font>
    <font>
      <b/>
      <sz val="11"/>
      <color theme="1"/>
      <name val="Calibri"/>
      <family val="2"/>
      <scheme val="minor"/>
    </font>
    <font>
      <b/>
      <sz val="11"/>
      <name val="Calibri"/>
      <family val="2"/>
      <scheme val="minor"/>
    </font>
    <font>
      <sz val="11"/>
      <name val="Calibri"/>
      <family val="2"/>
      <scheme val="minor"/>
    </font>
    <font>
      <b/>
      <sz val="11"/>
      <name val="Arial"/>
      <family val="1"/>
    </font>
    <font>
      <b/>
      <sz val="10"/>
      <name val="Arial"/>
      <family val="1"/>
    </font>
    <font>
      <b/>
      <sz val="10"/>
      <color rgb="FF000000"/>
      <name val="Arial"/>
      <family val="1"/>
    </font>
    <font>
      <sz val="10"/>
      <color rgb="FF000000"/>
      <name val="Arial"/>
      <family val="1"/>
    </font>
    <font>
      <sz val="10"/>
      <name val="Arial"/>
      <family val="1"/>
    </font>
    <font>
      <sz val="10"/>
      <color theme="1"/>
      <name val="Arial"/>
      <family val="2"/>
    </font>
    <font>
      <b/>
      <sz val="10"/>
      <color theme="1"/>
      <name val="Arial"/>
      <family val="2"/>
    </font>
    <font>
      <b/>
      <sz val="11"/>
      <color theme="1"/>
      <name val="Arial"/>
      <family val="2"/>
    </font>
    <font>
      <sz val="8"/>
      <color rgb="FF000000"/>
      <name val="Arial"/>
      <family val="2"/>
    </font>
    <font>
      <b/>
      <sz val="8"/>
      <color rgb="FF000000"/>
      <name val="Arial"/>
      <family val="2"/>
    </font>
    <font>
      <vertAlign val="subscript"/>
      <sz val="8"/>
      <name val="Arial"/>
      <family val="2"/>
    </font>
    <font>
      <b/>
      <u/>
      <sz val="8"/>
      <name val="Arial"/>
      <family val="2"/>
    </font>
    <font>
      <b/>
      <sz val="3"/>
      <name val="Arial"/>
      <family val="2"/>
    </font>
    <font>
      <sz val="3"/>
      <name val="Arial"/>
      <family val="2"/>
    </font>
    <font>
      <sz val="3"/>
      <color theme="1"/>
      <name val="Calibri"/>
      <family val="2"/>
      <scheme val="minor"/>
    </font>
    <font>
      <sz val="9.5"/>
      <color theme="1"/>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bgColor indexed="26"/>
      </patternFill>
    </fill>
    <fill>
      <patternFill patternType="solid">
        <fgColor indexed="22"/>
        <bgColor indexed="44"/>
      </patternFill>
    </fill>
    <fill>
      <patternFill patternType="solid">
        <fgColor rgb="FFFFFF99"/>
        <bgColor indexed="64"/>
      </patternFill>
    </fill>
    <fill>
      <patternFill patternType="solid">
        <fgColor rgb="FF66FF66"/>
        <bgColor indexed="64"/>
      </patternFill>
    </fill>
    <fill>
      <patternFill patternType="solid">
        <fgColor indexed="31"/>
        <bgColor indexed="42"/>
      </patternFill>
    </fill>
    <fill>
      <patternFill patternType="solid">
        <fgColor rgb="FFFF0000"/>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FFFF00"/>
        <bgColor indexed="64"/>
      </patternFill>
    </fill>
  </fills>
  <borders count="7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ck">
        <color rgb="FF000000"/>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style="thick">
        <color rgb="FF000000"/>
      </bottom>
      <diagonal/>
    </border>
    <border>
      <left/>
      <right/>
      <top style="thin">
        <color rgb="FFCCCCCC"/>
      </top>
      <bottom style="thick">
        <color rgb="FF000000"/>
      </bottom>
      <diagonal/>
    </border>
    <border>
      <left/>
      <right style="thin">
        <color rgb="FFCCCCCC"/>
      </right>
      <top style="thin">
        <color rgb="FFCCCCCC"/>
      </top>
      <bottom style="thick">
        <color rgb="FF000000"/>
      </bottom>
      <diagonal/>
    </border>
    <border>
      <left style="thin">
        <color rgb="FFCCCCCC"/>
      </left>
      <right style="thin">
        <color rgb="FFCCCCCC"/>
      </right>
      <top style="thick">
        <color rgb="FF000000"/>
      </top>
      <bottom style="thin">
        <color rgb="FFCCCCCC"/>
      </bottom>
      <diagonal/>
    </border>
    <border>
      <left/>
      <right/>
      <top/>
      <bottom style="medium">
        <color rgb="FFCCCCCC"/>
      </bottom>
      <diagonal/>
    </border>
    <border>
      <left/>
      <right/>
      <top/>
      <bottom style="thick">
        <color rgb="FF0092F6"/>
      </bottom>
      <diagonal/>
    </border>
    <border>
      <left/>
      <right/>
      <top/>
      <bottom style="thick">
        <color rgb="FFFF55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CCCCCC"/>
      </left>
      <right style="thin">
        <color rgb="FFCCCCCC"/>
      </right>
      <top style="medium">
        <color indexed="64"/>
      </top>
      <bottom style="thin">
        <color rgb="FFCCCCCC"/>
      </bottom>
      <diagonal/>
    </border>
    <border>
      <left style="medium">
        <color auto="1"/>
      </left>
      <right style="thin">
        <color rgb="FFCCCCCC"/>
      </right>
      <top style="medium">
        <color indexed="64"/>
      </top>
      <bottom style="thin">
        <color rgb="FFCCCCCC"/>
      </bottom>
      <diagonal/>
    </border>
    <border>
      <left style="thin">
        <color rgb="FFCCCCCC"/>
      </left>
      <right style="medium">
        <color auto="1"/>
      </right>
      <top style="medium">
        <color indexed="64"/>
      </top>
      <bottom style="thin">
        <color rgb="FFCCCCCC"/>
      </bottom>
      <diagonal/>
    </border>
    <border>
      <left style="medium">
        <color auto="1"/>
      </left>
      <right style="thin">
        <color rgb="FFCCCCCC"/>
      </right>
      <top style="thin">
        <color rgb="FFCCCCCC"/>
      </top>
      <bottom style="thin">
        <color rgb="FFCCCCCC"/>
      </bottom>
      <diagonal/>
    </border>
    <border>
      <left style="thin">
        <color rgb="FFCCCCCC"/>
      </left>
      <right style="medium">
        <color auto="1"/>
      </right>
      <top style="thin">
        <color rgb="FFCCCCCC"/>
      </top>
      <bottom style="thin">
        <color rgb="FFCCCCCC"/>
      </bottom>
      <diagonal/>
    </border>
    <border>
      <left style="medium">
        <color auto="1"/>
      </left>
      <right style="thin">
        <color rgb="FFCCCCCC"/>
      </right>
      <top style="thin">
        <color rgb="FFCCCCCC"/>
      </top>
      <bottom style="medium">
        <color auto="1"/>
      </bottom>
      <diagonal/>
    </border>
    <border>
      <left style="thin">
        <color rgb="FFCCCCCC"/>
      </left>
      <right style="thin">
        <color rgb="FFCCCCCC"/>
      </right>
      <top style="thin">
        <color rgb="FFCCCCCC"/>
      </top>
      <bottom style="medium">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medium">
        <color auto="1"/>
      </right>
      <top style="thin">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right/>
      <top style="medium">
        <color auto="1"/>
      </top>
      <bottom style="thick">
        <color rgb="FF0092F6"/>
      </bottom>
      <diagonal/>
    </border>
    <border>
      <left/>
      <right style="medium">
        <color auto="1"/>
      </right>
      <top style="medium">
        <color auto="1"/>
      </top>
      <bottom style="thick">
        <color rgb="FF0092F6"/>
      </bottom>
      <diagonal/>
    </border>
    <border>
      <left/>
      <right style="medium">
        <color auto="1"/>
      </right>
      <top/>
      <bottom style="thick">
        <color rgb="FFFF5500"/>
      </bottom>
      <diagonal/>
    </border>
    <border>
      <left/>
      <right style="medium">
        <color auto="1"/>
      </right>
      <top/>
      <bottom style="thick">
        <color rgb="FF0092F6"/>
      </bottom>
      <diagonal/>
    </border>
  </borders>
  <cellStyleXfs count="13">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0" fontId="4" fillId="0" borderId="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166" fontId="2" fillId="0" borderId="0" applyFill="0" applyBorder="0" applyAlignment="0" applyProtection="0"/>
  </cellStyleXfs>
  <cellXfs count="592">
    <xf numFmtId="0" fontId="0" fillId="0" borderId="0" xfId="0"/>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10" fontId="6" fillId="0" borderId="0" xfId="10" applyNumberFormat="1" applyFont="1" applyFill="1" applyBorder="1" applyAlignment="1">
      <alignment horizontal="left" vertical="center" wrapText="1"/>
    </xf>
    <xf numFmtId="0" fontId="6" fillId="0" borderId="0" xfId="0" applyFont="1" applyFill="1" applyBorder="1" applyAlignment="1">
      <alignment vertical="center"/>
    </xf>
    <xf numFmtId="43" fontId="8" fillId="0" borderId="0" xfId="1" applyFont="1" applyFill="1" applyBorder="1" applyAlignment="1">
      <alignment horizontal="center" vertical="center" wrapText="1"/>
    </xf>
    <xf numFmtId="0" fontId="7" fillId="0" borderId="0" xfId="0" applyFont="1"/>
    <xf numFmtId="0" fontId="8" fillId="0" borderId="0" xfId="0" applyFont="1" applyAlignment="1">
      <alignment vertical="center"/>
    </xf>
    <xf numFmtId="0" fontId="6" fillId="0" borderId="0" xfId="2" applyFont="1" applyFill="1" applyBorder="1" applyAlignment="1">
      <alignment vertical="center" wrapText="1"/>
    </xf>
    <xf numFmtId="0" fontId="6" fillId="0" borderId="0" xfId="0" applyFont="1" applyFill="1" applyBorder="1" applyAlignment="1">
      <alignment vertical="center" wrapText="1"/>
    </xf>
    <xf numFmtId="0" fontId="6" fillId="0" borderId="0" xfId="2"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0" xfId="0" applyFont="1" applyFill="1" applyAlignment="1">
      <alignment vertical="center"/>
    </xf>
    <xf numFmtId="49" fontId="8" fillId="0" borderId="9" xfId="2"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9" xfId="2"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2" applyFont="1" applyFill="1" applyBorder="1" applyAlignment="1">
      <alignment horizontal="center" vertical="center" wrapText="1"/>
    </xf>
    <xf numFmtId="0" fontId="6" fillId="0" borderId="9" xfId="0" applyFont="1" applyBorder="1" applyAlignment="1">
      <alignment horizontal="center" vertical="center" wrapText="1"/>
    </xf>
    <xf numFmtId="43" fontId="8" fillId="0" borderId="10" xfId="1" applyFont="1" applyFill="1" applyBorder="1" applyAlignment="1">
      <alignment vertical="center"/>
    </xf>
    <xf numFmtId="43" fontId="6" fillId="0" borderId="10" xfId="1" applyFont="1" applyFill="1" applyBorder="1" applyAlignment="1">
      <alignment vertical="center"/>
    </xf>
    <xf numFmtId="0" fontId="6" fillId="0" borderId="9" xfId="2"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43" fontId="8" fillId="0" borderId="0" xfId="1" applyFont="1" applyAlignment="1">
      <alignment vertical="center"/>
    </xf>
    <xf numFmtId="43" fontId="8" fillId="0" borderId="10" xfId="1" applyFont="1" applyBorder="1" applyAlignment="1">
      <alignment vertical="center"/>
    </xf>
    <xf numFmtId="43" fontId="6" fillId="0" borderId="10" xfId="1" applyFont="1" applyBorder="1" applyAlignment="1">
      <alignment vertical="center"/>
    </xf>
    <xf numFmtId="43" fontId="12" fillId="0" borderId="10" xfId="1" applyFont="1" applyFill="1" applyBorder="1" applyAlignment="1">
      <alignment vertical="center"/>
    </xf>
    <xf numFmtId="4" fontId="8" fillId="2" borderId="10" xfId="0" applyNumberFormat="1" applyFont="1" applyFill="1" applyBorder="1" applyAlignment="1">
      <alignment horizontal="right" vertical="center" wrapText="1"/>
    </xf>
    <xf numFmtId="43" fontId="8" fillId="2" borderId="10" xfId="1" applyFont="1" applyFill="1" applyBorder="1" applyAlignment="1">
      <alignment horizontal="right" vertical="center"/>
    </xf>
    <xf numFmtId="43" fontId="6" fillId="2" borderId="10" xfId="1" applyFont="1" applyFill="1" applyBorder="1" applyAlignment="1">
      <alignment horizontal="right" vertical="center"/>
    </xf>
    <xf numFmtId="43" fontId="8" fillId="2" borderId="10" xfId="1" applyFont="1" applyFill="1" applyBorder="1" applyAlignment="1">
      <alignment vertical="center"/>
    </xf>
    <xf numFmtId="43" fontId="8" fillId="2" borderId="10" xfId="1" applyFont="1" applyFill="1" applyBorder="1" applyAlignment="1">
      <alignment horizontal="center" vertical="center" wrapText="1"/>
    </xf>
    <xf numFmtId="0" fontId="8" fillId="0" borderId="0" xfId="0" applyFont="1" applyBorder="1" applyAlignment="1">
      <alignment vertical="center"/>
    </xf>
    <xf numFmtId="1" fontId="17" fillId="0" borderId="0" xfId="0" applyNumberFormat="1" applyFont="1" applyAlignment="1">
      <alignment horizontal="center" vertical="center"/>
    </xf>
    <xf numFmtId="0" fontId="23" fillId="0" borderId="0" xfId="0" applyFont="1"/>
    <xf numFmtId="0" fontId="24" fillId="0" borderId="0" xfId="0" applyFont="1"/>
    <xf numFmtId="0" fontId="9" fillId="0" borderId="0" xfId="2" applyFont="1" applyFill="1" applyBorder="1" applyAlignment="1">
      <alignment vertical="center" wrapText="1"/>
    </xf>
    <xf numFmtId="0" fontId="0" fillId="0" borderId="0" xfId="0" applyAlignment="1">
      <alignment horizontal="center" vertical="center"/>
    </xf>
    <xf numFmtId="0" fontId="8" fillId="0" borderId="17" xfId="2" applyFont="1" applyFill="1" applyBorder="1" applyAlignment="1">
      <alignment horizontal="center" vertical="center"/>
    </xf>
    <xf numFmtId="0" fontId="8" fillId="0" borderId="17" xfId="2" applyFont="1" applyFill="1" applyBorder="1" applyAlignment="1">
      <alignment vertical="center" wrapText="1"/>
    </xf>
    <xf numFmtId="49" fontId="6" fillId="7" borderId="4" xfId="2" applyNumberFormat="1" applyFont="1" applyFill="1" applyBorder="1" applyAlignment="1">
      <alignment horizontal="left" vertical="center" wrapText="1"/>
    </xf>
    <xf numFmtId="0" fontId="10" fillId="7" borderId="4" xfId="0" applyFont="1" applyFill="1" applyBorder="1" applyAlignment="1">
      <alignment horizontal="center" vertical="center"/>
    </xf>
    <xf numFmtId="0" fontId="0" fillId="0" borderId="0" xfId="0" applyAlignment="1">
      <alignment vertical="center"/>
    </xf>
    <xf numFmtId="43" fontId="8" fillId="0" borderId="0" xfId="1" applyFont="1" applyFill="1" applyBorder="1" applyAlignment="1">
      <alignment vertical="center"/>
    </xf>
    <xf numFmtId="0" fontId="8" fillId="0" borderId="9" xfId="0" applyFont="1" applyFill="1" applyBorder="1" applyAlignment="1">
      <alignment horizontal="center" vertical="center"/>
    </xf>
    <xf numFmtId="4" fontId="6" fillId="2" borderId="10" xfId="0" applyNumberFormat="1" applyFont="1" applyFill="1" applyBorder="1" applyAlignment="1">
      <alignment horizontal="righ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8" fillId="0" borderId="12" xfId="0" applyFont="1" applyBorder="1" applyAlignment="1">
      <alignment vertical="center"/>
    </xf>
    <xf numFmtId="43" fontId="8" fillId="0" borderId="12" xfId="1" applyFont="1" applyBorder="1" applyAlignment="1">
      <alignment vertical="center"/>
    </xf>
    <xf numFmtId="43" fontId="8" fillId="0" borderId="13" xfId="1" applyFont="1" applyBorder="1" applyAlignment="1">
      <alignment vertical="center"/>
    </xf>
    <xf numFmtId="4" fontId="8" fillId="0" borderId="10" xfId="0" applyNumberFormat="1" applyFont="1" applyFill="1" applyBorder="1" applyAlignment="1">
      <alignment horizontal="center" vertical="center" wrapText="1"/>
    </xf>
    <xf numFmtId="0" fontId="15" fillId="0" borderId="0" xfId="0" applyFont="1"/>
    <xf numFmtId="0" fontId="22" fillId="0" borderId="0" xfId="2" applyFont="1" applyAlignment="1">
      <alignment horizontal="center" vertical="center" wrapText="1"/>
    </xf>
    <xf numFmtId="0" fontId="29" fillId="3" borderId="4"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15" fillId="0" borderId="7" xfId="0" applyFont="1" applyBorder="1" applyAlignment="1">
      <alignment horizontal="center" vertical="center"/>
    </xf>
    <xf numFmtId="43" fontId="15" fillId="0" borderId="7" xfId="1" applyFont="1" applyFill="1" applyBorder="1" applyAlignment="1">
      <alignment horizontal="center" vertical="center" wrapText="1"/>
    </xf>
    <xf numFmtId="44" fontId="15" fillId="0" borderId="7" xfId="9" applyFont="1" applyFill="1" applyBorder="1" applyAlignment="1">
      <alignment horizontal="center" vertical="center" wrapText="1"/>
    </xf>
    <xf numFmtId="0" fontId="24" fillId="0" borderId="0" xfId="0" applyFont="1" applyAlignment="1">
      <alignment vertical="center"/>
    </xf>
    <xf numFmtId="0" fontId="15" fillId="0" borderId="9" xfId="2" applyFont="1" applyBorder="1" applyAlignment="1">
      <alignment horizontal="center" vertical="center"/>
    </xf>
    <xf numFmtId="10" fontId="24" fillId="0" borderId="10" xfId="0" applyNumberFormat="1" applyFont="1" applyBorder="1" applyAlignment="1">
      <alignment horizontal="center" vertical="center"/>
    </xf>
    <xf numFmtId="0" fontId="15" fillId="0" borderId="0" xfId="2" applyFont="1" applyAlignment="1">
      <alignment horizontal="center" vertical="center"/>
    </xf>
    <xf numFmtId="0" fontId="15" fillId="0" borderId="0" xfId="0" applyFont="1" applyAlignment="1">
      <alignment horizontal="center" vertical="center"/>
    </xf>
    <xf numFmtId="0" fontId="15" fillId="0" borderId="0" xfId="2" applyFont="1" applyAlignment="1">
      <alignment vertical="center"/>
    </xf>
    <xf numFmtId="0" fontId="29" fillId="3" borderId="14"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4"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4" fillId="0" borderId="0" xfId="0" applyFont="1" applyBorder="1"/>
    <xf numFmtId="43" fontId="24" fillId="0" borderId="0" xfId="1" applyFont="1" applyBorder="1"/>
    <xf numFmtId="10" fontId="24" fillId="0" borderId="10" xfId="10" applyNumberFormat="1"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vertical="center"/>
    </xf>
    <xf numFmtId="10" fontId="6" fillId="0" borderId="0" xfId="10" applyNumberFormat="1" applyFont="1" applyFill="1" applyBorder="1" applyAlignment="1">
      <alignment horizontal="left" vertical="center"/>
    </xf>
    <xf numFmtId="0" fontId="31" fillId="0" borderId="0" xfId="0" applyFont="1" applyAlignment="1">
      <alignment horizontal="left" vertical="center" wrapText="1"/>
    </xf>
    <xf numFmtId="0" fontId="8" fillId="0" borderId="0" xfId="1" applyNumberFormat="1" applyFont="1" applyFill="1" applyBorder="1" applyAlignment="1">
      <alignment horizontal="left" vertical="center"/>
    </xf>
    <xf numFmtId="0" fontId="3" fillId="0" borderId="0" xfId="0" applyFont="1"/>
    <xf numFmtId="0" fontId="31" fillId="0" borderId="0" xfId="0" applyFont="1" applyAlignment="1">
      <alignment horizontal="right" vertical="center"/>
    </xf>
    <xf numFmtId="10" fontId="31" fillId="0" borderId="0" xfId="10" applyNumberFormat="1" applyFont="1" applyBorder="1" applyAlignment="1">
      <alignment horizontal="center" vertical="center"/>
    </xf>
    <xf numFmtId="0" fontId="0" fillId="0" borderId="0" xfId="2" applyFont="1"/>
    <xf numFmtId="0" fontId="3" fillId="0" borderId="0" xfId="2" applyFont="1" applyAlignment="1">
      <alignment horizontal="center"/>
    </xf>
    <xf numFmtId="0" fontId="13" fillId="0" borderId="0" xfId="2" applyFont="1" applyAlignment="1">
      <alignment horizontal="center"/>
    </xf>
    <xf numFmtId="0" fontId="3" fillId="0" borderId="19" xfId="2" applyFont="1" applyBorder="1" applyAlignment="1">
      <alignment horizontal="center"/>
    </xf>
    <xf numFmtId="10" fontId="14" fillId="0" borderId="19" xfId="2" applyNumberFormat="1" applyFont="1" applyBorder="1" applyAlignment="1">
      <alignment horizontal="center"/>
    </xf>
    <xf numFmtId="0" fontId="3" fillId="0" borderId="19" xfId="2" applyFont="1" applyBorder="1" applyAlignment="1">
      <alignment horizontal="center" vertical="center" wrapText="1"/>
    </xf>
    <xf numFmtId="0" fontId="19" fillId="0" borderId="19" xfId="2" applyFont="1" applyBorder="1" applyAlignment="1">
      <alignment horizontal="center" vertical="center"/>
    </xf>
    <xf numFmtId="10" fontId="19" fillId="4" borderId="19" xfId="2" applyNumberFormat="1" applyFont="1" applyFill="1" applyBorder="1" applyAlignment="1" applyProtection="1">
      <alignment horizontal="center" vertical="center"/>
      <protection locked="0"/>
    </xf>
    <xf numFmtId="10" fontId="19" fillId="0" borderId="19" xfId="2" applyNumberFormat="1" applyFont="1" applyBorder="1" applyAlignment="1">
      <alignment horizontal="center" vertical="center"/>
    </xf>
    <xf numFmtId="10" fontId="19" fillId="0" borderId="19" xfId="2" applyNumberFormat="1" applyFont="1" applyBorder="1" applyAlignment="1">
      <alignment horizontal="center" vertical="center" wrapText="1"/>
    </xf>
    <xf numFmtId="0" fontId="19" fillId="0" borderId="19" xfId="2" applyFont="1" applyBorder="1" applyAlignment="1">
      <alignment horizontal="center" vertical="center" wrapText="1"/>
    </xf>
    <xf numFmtId="0" fontId="19" fillId="5" borderId="19" xfId="2" applyFont="1" applyFill="1" applyBorder="1" applyAlignment="1">
      <alignment horizontal="center" vertical="center" wrapText="1"/>
    </xf>
    <xf numFmtId="10" fontId="18" fillId="5" borderId="19" xfId="2" applyNumberFormat="1" applyFont="1" applyFill="1" applyBorder="1" applyAlignment="1">
      <alignment horizontal="center" vertical="center"/>
    </xf>
    <xf numFmtId="0" fontId="32" fillId="0" borderId="0" xfId="2" applyFont="1" applyAlignment="1">
      <alignment horizontal="right" vertical="center"/>
    </xf>
    <xf numFmtId="0" fontId="0" fillId="0" borderId="0" xfId="2" applyFont="1" applyAlignment="1">
      <alignment horizontal="center" vertical="top"/>
    </xf>
    <xf numFmtId="0" fontId="21" fillId="0" borderId="0" xfId="2" applyFont="1" applyAlignment="1">
      <alignment horizontal="center" vertical="top"/>
    </xf>
    <xf numFmtId="169" fontId="0" fillId="0" borderId="0" xfId="2" applyNumberFormat="1" applyFont="1"/>
    <xf numFmtId="0" fontId="3" fillId="0" borderId="22" xfId="2" applyFont="1" applyBorder="1" applyAlignment="1">
      <alignment horizontal="left"/>
    </xf>
    <xf numFmtId="0" fontId="0" fillId="0" borderId="22" xfId="2" applyFont="1" applyBorder="1"/>
    <xf numFmtId="0" fontId="19" fillId="0" borderId="0" xfId="2" applyFont="1"/>
    <xf numFmtId="0" fontId="3" fillId="0" borderId="0" xfId="11" applyFont="1" applyAlignment="1">
      <alignment horizontal="left" vertical="top"/>
    </xf>
    <xf numFmtId="0" fontId="0" fillId="0" borderId="0" xfId="2" applyFont="1" applyAlignment="1">
      <alignment vertical="top"/>
    </xf>
    <xf numFmtId="167" fontId="0" fillId="0" borderId="0" xfId="2" applyNumberFormat="1" applyFont="1"/>
    <xf numFmtId="167" fontId="0" fillId="0" borderId="0" xfId="2" applyNumberFormat="1" applyFont="1" applyAlignment="1">
      <alignment vertical="top"/>
    </xf>
    <xf numFmtId="0" fontId="33" fillId="0" borderId="0" xfId="0" applyFont="1" applyAlignment="1">
      <alignment horizontal="right" vertical="center"/>
    </xf>
    <xf numFmtId="0" fontId="33" fillId="0" borderId="0" xfId="0" applyFont="1" applyAlignment="1">
      <alignment horizontal="center" vertical="top"/>
    </xf>
    <xf numFmtId="0" fontId="33" fillId="0" borderId="0" xfId="0" applyFont="1" applyAlignment="1">
      <alignment horizontal="left" vertical="center"/>
    </xf>
    <xf numFmtId="0" fontId="0" fillId="0" borderId="0" xfId="2" applyFont="1" applyBorder="1" applyAlignment="1">
      <alignment horizontal="left" vertical="top" wrapText="1"/>
    </xf>
    <xf numFmtId="0" fontId="6" fillId="7" borderId="9" xfId="2" applyFont="1" applyFill="1" applyBorder="1" applyAlignment="1">
      <alignment horizontal="center" vertical="center" wrapText="1"/>
    </xf>
    <xf numFmtId="43" fontId="6" fillId="7" borderId="10" xfId="1" applyFont="1" applyFill="1" applyBorder="1" applyAlignment="1">
      <alignment horizontal="center" vertical="center" wrapText="1"/>
    </xf>
    <xf numFmtId="43" fontId="6" fillId="7" borderId="10" xfId="1" applyFont="1" applyFill="1" applyBorder="1" applyAlignment="1">
      <alignment horizontal="right" vertical="center"/>
    </xf>
    <xf numFmtId="43" fontId="6" fillId="2" borderId="10" xfId="1" applyFont="1" applyFill="1" applyBorder="1" applyAlignment="1">
      <alignment vertical="center"/>
    </xf>
    <xf numFmtId="43" fontId="6" fillId="7" borderId="10" xfId="1" applyFont="1" applyFill="1" applyBorder="1" applyAlignment="1">
      <alignment vertical="center"/>
    </xf>
    <xf numFmtId="0" fontId="6" fillId="7" borderId="9" xfId="2" applyFont="1" applyFill="1" applyBorder="1" applyAlignment="1">
      <alignment horizontal="center" vertical="center"/>
    </xf>
    <xf numFmtId="43" fontId="8" fillId="7" borderId="10" xfId="1" applyFont="1" applyFill="1" applyBorder="1" applyAlignment="1">
      <alignment vertical="center"/>
    </xf>
    <xf numFmtId="43" fontId="6" fillId="7" borderId="10" xfId="1" applyFont="1" applyFill="1" applyBorder="1" applyAlignment="1">
      <alignment vertical="center" wrapText="1"/>
    </xf>
    <xf numFmtId="49" fontId="6" fillId="7" borderId="6" xfId="2" applyNumberFormat="1" applyFont="1" applyFill="1" applyBorder="1" applyAlignment="1">
      <alignment horizontal="center" vertical="center"/>
    </xf>
    <xf numFmtId="49" fontId="6" fillId="7" borderId="7" xfId="2" applyNumberFormat="1" applyFont="1" applyFill="1" applyBorder="1" applyAlignment="1">
      <alignment horizontal="center" vertical="center"/>
    </xf>
    <xf numFmtId="49" fontId="6" fillId="7" borderId="7" xfId="2" applyNumberFormat="1" applyFont="1" applyFill="1" applyBorder="1" applyAlignment="1">
      <alignment horizontal="left" vertical="center" wrapText="1"/>
    </xf>
    <xf numFmtId="43" fontId="8" fillId="7" borderId="7" xfId="1" applyFont="1" applyFill="1" applyBorder="1" applyAlignment="1">
      <alignment vertical="center"/>
    </xf>
    <xf numFmtId="43" fontId="8" fillId="7" borderId="8" xfId="1" applyFont="1" applyFill="1" applyBorder="1" applyAlignment="1">
      <alignment vertical="center"/>
    </xf>
    <xf numFmtId="49" fontId="6" fillId="7" borderId="9" xfId="2" applyNumberFormat="1" applyFont="1" applyFill="1" applyBorder="1" applyAlignment="1">
      <alignment horizontal="center" vertical="center"/>
    </xf>
    <xf numFmtId="4" fontId="6" fillId="0" borderId="10" xfId="0" applyNumberFormat="1" applyFont="1" applyFill="1" applyBorder="1" applyAlignment="1">
      <alignment horizontal="right" vertical="center" wrapText="1"/>
    </xf>
    <xf numFmtId="43" fontId="6" fillId="2" borderId="10" xfId="1" applyFont="1" applyFill="1" applyBorder="1" applyAlignment="1">
      <alignment horizontal="center" vertical="center" wrapText="1"/>
    </xf>
    <xf numFmtId="43" fontId="25" fillId="0" borderId="10" xfId="1" applyFont="1" applyFill="1" applyBorder="1" applyAlignment="1">
      <alignment vertical="center"/>
    </xf>
    <xf numFmtId="43" fontId="8" fillId="0" borderId="17" xfId="1" applyFont="1" applyBorder="1" applyAlignment="1">
      <alignment vertical="center"/>
    </xf>
    <xf numFmtId="43" fontId="6" fillId="0" borderId="10" xfId="1" applyNumberFormat="1" applyFont="1" applyFill="1" applyBorder="1" applyAlignment="1">
      <alignment vertical="center"/>
    </xf>
    <xf numFmtId="0" fontId="8" fillId="0" borderId="10" xfId="0" applyFont="1" applyFill="1" applyBorder="1" applyAlignment="1">
      <alignment vertical="center"/>
    </xf>
    <xf numFmtId="0" fontId="6" fillId="3" borderId="4" xfId="0" quotePrefix="1" applyFont="1" applyFill="1" applyBorder="1" applyAlignment="1">
      <alignment horizontal="center" vertical="center"/>
    </xf>
    <xf numFmtId="2" fontId="6"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0" fontId="3" fillId="0" borderId="0" xfId="2" applyFont="1" applyBorder="1"/>
    <xf numFmtId="0" fontId="3" fillId="0" borderId="16" xfId="2" applyFont="1" applyBorder="1"/>
    <xf numFmtId="0" fontId="8" fillId="0" borderId="23"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23" xfId="0" applyFont="1" applyFill="1" applyBorder="1" applyAlignment="1">
      <alignment horizontal="center" vertical="center"/>
    </xf>
    <xf numFmtId="43" fontId="8" fillId="0" borderId="23" xfId="1" applyFont="1" applyFill="1" applyBorder="1" applyAlignment="1">
      <alignment vertical="center"/>
    </xf>
    <xf numFmtId="0" fontId="8" fillId="0" borderId="9" xfId="2" applyFont="1" applyBorder="1" applyAlignment="1">
      <alignment horizontal="center" vertical="center" wrapText="1"/>
    </xf>
    <xf numFmtId="0" fontId="8" fillId="0" borderId="23" xfId="2" applyFont="1" applyBorder="1" applyAlignment="1">
      <alignment horizontal="center" vertical="center" wrapText="1"/>
    </xf>
    <xf numFmtId="43" fontId="12" fillId="0" borderId="0" xfId="1" applyFont="1" applyFill="1" applyBorder="1" applyAlignment="1">
      <alignment vertical="center"/>
    </xf>
    <xf numFmtId="0" fontId="8" fillId="2" borderId="9" xfId="2" applyFont="1" applyFill="1" applyBorder="1" applyAlignment="1">
      <alignment horizontal="center" vertical="center"/>
    </xf>
    <xf numFmtId="0" fontId="8" fillId="0" borderId="23" xfId="2" applyFont="1" applyFill="1" applyBorder="1" applyAlignment="1">
      <alignment vertical="center" wrapText="1"/>
    </xf>
    <xf numFmtId="0" fontId="6" fillId="0" borderId="23" xfId="2" applyFont="1" applyFill="1" applyBorder="1" applyAlignment="1">
      <alignment vertical="center" wrapText="1"/>
    </xf>
    <xf numFmtId="0" fontId="8" fillId="0" borderId="23" xfId="2" applyFont="1" applyFill="1" applyBorder="1" applyAlignment="1">
      <alignment horizontal="center" vertical="center" wrapText="1"/>
    </xf>
    <xf numFmtId="0" fontId="8" fillId="0" borderId="23" xfId="2" applyFont="1" applyFill="1" applyBorder="1" applyAlignment="1">
      <alignment horizontal="left" vertical="center" wrapText="1"/>
    </xf>
    <xf numFmtId="0" fontId="8" fillId="0" borderId="23" xfId="0" applyFont="1" applyFill="1" applyBorder="1" applyAlignment="1">
      <alignment horizontal="center" vertical="center" wrapText="1"/>
    </xf>
    <xf numFmtId="49" fontId="6" fillId="7" borderId="4" xfId="2" applyNumberFormat="1" applyFont="1" applyFill="1" applyBorder="1" applyAlignment="1">
      <alignment horizontal="center" vertical="center"/>
    </xf>
    <xf numFmtId="0" fontId="8" fillId="0" borderId="23" xfId="2" applyFont="1" applyFill="1" applyBorder="1" applyAlignment="1">
      <alignment vertical="center"/>
    </xf>
    <xf numFmtId="0" fontId="8" fillId="0" borderId="23" xfId="0" applyFont="1" applyBorder="1" applyAlignment="1">
      <alignment horizontal="center" vertical="center" wrapText="1"/>
    </xf>
    <xf numFmtId="0" fontId="8" fillId="0" borderId="23" xfId="0" applyFont="1" applyFill="1" applyBorder="1" applyAlignment="1">
      <alignment horizontal="center" vertical="center"/>
    </xf>
    <xf numFmtId="43" fontId="8" fillId="0" borderId="23" xfId="1" applyFont="1" applyBorder="1" applyAlignment="1">
      <alignment vertical="center"/>
    </xf>
    <xf numFmtId="0" fontId="25" fillId="0" borderId="23" xfId="2" applyFont="1" applyFill="1" applyBorder="1" applyAlignment="1">
      <alignment vertical="center"/>
    </xf>
    <xf numFmtId="43" fontId="25" fillId="0" borderId="23" xfId="1" applyFont="1" applyFill="1" applyBorder="1" applyAlignment="1">
      <alignment vertical="center"/>
    </xf>
    <xf numFmtId="0" fontId="6" fillId="0" borderId="0" xfId="2" applyFont="1" applyFill="1" applyBorder="1" applyAlignment="1">
      <alignment horizontal="center" vertical="center"/>
    </xf>
    <xf numFmtId="0" fontId="0" fillId="0" borderId="0" xfId="0" applyFill="1" applyAlignment="1">
      <alignment vertical="center"/>
    </xf>
    <xf numFmtId="49" fontId="8" fillId="0" borderId="23" xfId="2" applyNumberFormat="1" applyFont="1" applyFill="1" applyBorder="1" applyAlignment="1">
      <alignment horizontal="center" vertical="center"/>
    </xf>
    <xf numFmtId="43" fontId="8" fillId="0" borderId="23" xfId="1" applyFont="1" applyFill="1" applyBorder="1" applyAlignment="1">
      <alignment horizontal="center" vertical="center"/>
    </xf>
    <xf numFmtId="0" fontId="8" fillId="0" borderId="23" xfId="0" applyFont="1" applyBorder="1" applyAlignment="1">
      <alignment horizontal="center" vertical="center"/>
    </xf>
    <xf numFmtId="49" fontId="8" fillId="0" borderId="23" xfId="2" applyNumberFormat="1"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0" fontId="8" fillId="2" borderId="23" xfId="2" applyFont="1" applyFill="1" applyBorder="1" applyAlignment="1">
      <alignment horizontal="center" vertical="center" wrapText="1"/>
    </xf>
    <xf numFmtId="0" fontId="7" fillId="0" borderId="23" xfId="0" applyFont="1" applyFill="1" applyBorder="1" applyAlignment="1">
      <alignment horizontal="center" vertical="center"/>
    </xf>
    <xf numFmtId="0" fontId="8" fillId="0" borderId="23" xfId="0" quotePrefix="1" applyFont="1" applyFill="1" applyBorder="1" applyAlignment="1">
      <alignment horizontal="center" vertical="center"/>
    </xf>
    <xf numFmtId="2" fontId="8" fillId="0" borderId="23" xfId="0" applyNumberFormat="1" applyFont="1" applyFill="1" applyBorder="1" applyAlignment="1">
      <alignment horizontal="center" vertical="center" wrapText="1"/>
    </xf>
    <xf numFmtId="4" fontId="8" fillId="0" borderId="23" xfId="0" applyNumberFormat="1" applyFont="1" applyFill="1" applyBorder="1" applyAlignment="1">
      <alignment horizontal="center" vertical="center" wrapText="1"/>
    </xf>
    <xf numFmtId="49" fontId="6" fillId="7" borderId="23" xfId="2" applyNumberFormat="1" applyFont="1" applyFill="1" applyBorder="1" applyAlignment="1">
      <alignment horizontal="center" vertical="center"/>
    </xf>
    <xf numFmtId="49" fontId="6" fillId="7" borderId="23" xfId="2" applyNumberFormat="1" applyFont="1" applyFill="1" applyBorder="1" applyAlignment="1">
      <alignment horizontal="left" vertical="center" wrapText="1"/>
    </xf>
    <xf numFmtId="43" fontId="8" fillId="7" borderId="23" xfId="1" applyFont="1" applyFill="1" applyBorder="1" applyAlignment="1">
      <alignment vertical="center"/>
    </xf>
    <xf numFmtId="0" fontId="6" fillId="7" borderId="23" xfId="2" applyFont="1" applyFill="1" applyBorder="1" applyAlignment="1">
      <alignment horizontal="center" vertical="center"/>
    </xf>
    <xf numFmtId="0" fontId="6" fillId="7" borderId="23" xfId="2" applyFont="1" applyFill="1" applyBorder="1" applyAlignment="1">
      <alignment vertical="center" wrapText="1"/>
    </xf>
    <xf numFmtId="0" fontId="6" fillId="7" borderId="23" xfId="2" applyFont="1" applyFill="1" applyBorder="1" applyAlignment="1">
      <alignment vertical="center"/>
    </xf>
    <xf numFmtId="43" fontId="8" fillId="0" borderId="23" xfId="1" quotePrefix="1" applyFont="1" applyBorder="1" applyAlignment="1">
      <alignment vertical="center"/>
    </xf>
    <xf numFmtId="43" fontId="7" fillId="0" borderId="23" xfId="1" quotePrefix="1" applyFont="1" applyFill="1" applyBorder="1" applyAlignment="1">
      <alignment vertical="center"/>
    </xf>
    <xf numFmtId="0" fontId="11" fillId="0" borderId="23" xfId="4" applyNumberFormat="1" applyFont="1" applyFill="1" applyBorder="1" applyAlignment="1">
      <alignment horizontal="center" vertical="center" wrapText="1"/>
    </xf>
    <xf numFmtId="0" fontId="11" fillId="0" borderId="23" xfId="4" applyFont="1" applyFill="1" applyBorder="1" applyAlignment="1">
      <alignment horizontal="center" vertical="center" wrapText="1"/>
    </xf>
    <xf numFmtId="0" fontId="11" fillId="0" borderId="23" xfId="4" applyFont="1" applyFill="1" applyBorder="1" applyAlignment="1">
      <alignment horizontal="justify" vertical="center" wrapText="1"/>
    </xf>
    <xf numFmtId="0" fontId="8" fillId="0" borderId="23" xfId="4"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23" xfId="0" applyFont="1" applyBorder="1" applyAlignment="1">
      <alignment horizontal="center" vertical="center" wrapText="1"/>
    </xf>
    <xf numFmtId="0" fontId="8" fillId="0" borderId="23" xfId="0" applyFont="1" applyFill="1" applyBorder="1" applyAlignment="1">
      <alignment vertical="center"/>
    </xf>
    <xf numFmtId="43" fontId="6" fillId="0" borderId="23" xfId="1" applyFont="1" applyFill="1" applyBorder="1" applyAlignment="1">
      <alignment vertical="center"/>
    </xf>
    <xf numFmtId="43" fontId="8" fillId="0" borderId="23" xfId="1" applyFont="1" applyBorder="1" applyAlignment="1">
      <alignment horizontal="center" vertical="center"/>
    </xf>
    <xf numFmtId="0" fontId="12" fillId="0" borderId="23" xfId="2" applyFont="1" applyFill="1" applyBorder="1" applyAlignment="1">
      <alignment vertical="center" wrapText="1"/>
    </xf>
    <xf numFmtId="0" fontId="6" fillId="0" borderId="23"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23" xfId="0" applyFont="1" applyBorder="1" applyAlignment="1">
      <alignment horizontal="center" vertical="center" wrapText="1"/>
    </xf>
    <xf numFmtId="0" fontId="8" fillId="0" borderId="23" xfId="0" applyFont="1" applyBorder="1" applyAlignment="1">
      <alignment vertical="center"/>
    </xf>
    <xf numFmtId="0" fontId="6" fillId="0" borderId="23" xfId="2" applyFont="1" applyFill="1" applyBorder="1" applyAlignment="1">
      <alignment horizontal="left" vertical="center" wrapText="1"/>
    </xf>
    <xf numFmtId="0" fontId="8" fillId="0" borderId="23" xfId="2" applyFont="1" applyBorder="1" applyAlignment="1">
      <alignment horizontal="center" vertical="center"/>
    </xf>
    <xf numFmtId="0" fontId="6" fillId="7" borderId="23" xfId="2" applyFont="1" applyFill="1" applyBorder="1" applyAlignment="1">
      <alignment horizontal="center" vertical="center" wrapText="1"/>
    </xf>
    <xf numFmtId="0" fontId="6" fillId="7" borderId="23" xfId="0" applyFont="1" applyFill="1" applyBorder="1" applyAlignment="1">
      <alignment horizontal="left" vertical="center" wrapText="1"/>
    </xf>
    <xf numFmtId="0" fontId="6" fillId="7" borderId="23" xfId="0" applyFont="1" applyFill="1" applyBorder="1" applyAlignment="1">
      <alignment horizontal="center" vertical="center"/>
    </xf>
    <xf numFmtId="43" fontId="6" fillId="7" borderId="23" xfId="1" applyFont="1" applyFill="1" applyBorder="1" applyAlignment="1">
      <alignment vertical="center"/>
    </xf>
    <xf numFmtId="0" fontId="25" fillId="0" borderId="23" xfId="2" applyFont="1" applyFill="1" applyBorder="1" applyAlignment="1">
      <alignment horizontal="center" vertical="center"/>
    </xf>
    <xf numFmtId="0" fontId="8" fillId="9" borderId="23" xfId="0" applyFont="1" applyFill="1" applyBorder="1" applyAlignment="1">
      <alignment horizontal="center" vertical="center"/>
    </xf>
    <xf numFmtId="0" fontId="8" fillId="2" borderId="23" xfId="2" applyFont="1" applyFill="1" applyBorder="1" applyAlignment="1">
      <alignment horizontal="left" vertical="center" wrapText="1"/>
    </xf>
    <xf numFmtId="43" fontId="6" fillId="0" borderId="10" xfId="0" applyNumberFormat="1" applyFont="1" applyFill="1" applyBorder="1" applyAlignment="1">
      <alignment vertical="center"/>
    </xf>
    <xf numFmtId="0" fontId="26" fillId="0" borderId="23" xfId="0" applyFont="1" applyFill="1" applyBorder="1" applyAlignment="1">
      <alignment horizontal="right" vertical="center" wrapText="1"/>
    </xf>
    <xf numFmtId="0" fontId="8" fillId="0" borderId="23" xfId="0" applyNumberFormat="1" applyFont="1" applyFill="1" applyBorder="1" applyAlignment="1">
      <alignment horizontal="center" vertical="center" wrapText="1"/>
    </xf>
    <xf numFmtId="43" fontId="8" fillId="2" borderId="23" xfId="1" applyFont="1" applyFill="1" applyBorder="1" applyAlignment="1">
      <alignment horizontal="right" vertical="center"/>
    </xf>
    <xf numFmtId="0" fontId="6" fillId="7" borderId="23" xfId="0" applyNumberFormat="1" applyFont="1" applyFill="1" applyBorder="1" applyAlignment="1">
      <alignment horizontal="center" vertical="center" wrapText="1"/>
    </xf>
    <xf numFmtId="0" fontId="6" fillId="7" borderId="23" xfId="2" applyFont="1" applyFill="1" applyBorder="1" applyAlignment="1">
      <alignment horizontal="left" vertical="center" wrapText="1"/>
    </xf>
    <xf numFmtId="0" fontId="6" fillId="0" borderId="23" xfId="0" applyNumberFormat="1" applyFont="1" applyFill="1" applyBorder="1" applyAlignment="1">
      <alignment horizontal="center" vertical="center" wrapText="1"/>
    </xf>
    <xf numFmtId="0" fontId="6" fillId="0" borderId="23" xfId="2" applyFont="1" applyFill="1" applyBorder="1" applyAlignment="1">
      <alignment horizontal="center" vertical="center"/>
    </xf>
    <xf numFmtId="49" fontId="7" fillId="0" borderId="23" xfId="2" applyNumberFormat="1" applyFont="1" applyFill="1" applyBorder="1" applyAlignment="1">
      <alignment horizontal="center" vertical="center"/>
    </xf>
    <xf numFmtId="0" fontId="8" fillId="2" borderId="23" xfId="2" applyFont="1" applyFill="1"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3" xfId="0" applyBorder="1" applyAlignment="1">
      <alignment horizontal="center" vertical="center" wrapText="1"/>
    </xf>
    <xf numFmtId="14" fontId="0" fillId="0" borderId="23" xfId="0" applyNumberFormat="1" applyBorder="1" applyAlignment="1">
      <alignment horizontal="center" vertical="center" wrapText="1"/>
    </xf>
    <xf numFmtId="0" fontId="0" fillId="0" borderId="0" xfId="0" applyAlignment="1">
      <alignment horizontal="center" vertical="center" wrapText="1"/>
    </xf>
    <xf numFmtId="44" fontId="0" fillId="0" borderId="0" xfId="9" applyFont="1" applyAlignment="1">
      <alignment vertical="center" wrapText="1"/>
    </xf>
    <xf numFmtId="44" fontId="36" fillId="0" borderId="0" xfId="0" applyNumberFormat="1" applyFont="1" applyAlignment="1">
      <alignment vertical="center"/>
    </xf>
    <xf numFmtId="0" fontId="0" fillId="0" borderId="18" xfId="0" applyBorder="1" applyAlignment="1">
      <alignment vertical="center" wrapText="1"/>
    </xf>
    <xf numFmtId="0" fontId="0" fillId="0" borderId="18" xfId="0" applyBorder="1" applyAlignment="1">
      <alignment horizontal="center" vertical="center" wrapText="1"/>
    </xf>
    <xf numFmtId="14" fontId="0" fillId="0" borderId="18" xfId="0" applyNumberFormat="1" applyBorder="1" applyAlignment="1">
      <alignment horizontal="center" vertical="center" wrapText="1"/>
    </xf>
    <xf numFmtId="0" fontId="36" fillId="3" borderId="4" xfId="0" applyFont="1" applyFill="1" applyBorder="1" applyAlignment="1">
      <alignment horizontal="center"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14" fontId="0" fillId="0" borderId="24" xfId="0" applyNumberFormat="1" applyBorder="1" applyAlignment="1">
      <alignment horizontal="center" vertical="center" wrapText="1"/>
    </xf>
    <xf numFmtId="44" fontId="36" fillId="3" borderId="4" xfId="9" applyFont="1" applyFill="1" applyBorder="1" applyAlignment="1">
      <alignment vertical="center" wrapText="1"/>
    </xf>
    <xf numFmtId="44" fontId="0" fillId="0" borderId="18" xfId="9" applyFont="1" applyBorder="1" applyAlignment="1">
      <alignment horizontal="center" vertical="center" wrapText="1"/>
    </xf>
    <xf numFmtId="44" fontId="0" fillId="0" borderId="23" xfId="9" applyFont="1" applyBorder="1" applyAlignment="1">
      <alignment horizontal="center" vertical="center" wrapText="1"/>
    </xf>
    <xf numFmtId="44" fontId="0" fillId="0" borderId="24" xfId="9" applyFont="1" applyBorder="1" applyAlignment="1">
      <alignment horizontal="center" vertical="center" wrapText="1"/>
    </xf>
    <xf numFmtId="0" fontId="0" fillId="0" borderId="0" xfId="0" applyFont="1"/>
    <xf numFmtId="0" fontId="37" fillId="0" borderId="0" xfId="0" applyFont="1" applyFill="1" applyBorder="1" applyAlignment="1">
      <alignment vertical="center"/>
    </xf>
    <xf numFmtId="10" fontId="37" fillId="0" borderId="0" xfId="10" applyNumberFormat="1" applyFont="1" applyFill="1" applyBorder="1" applyAlignment="1">
      <alignment horizontal="left" vertical="center"/>
    </xf>
    <xf numFmtId="0" fontId="36" fillId="0" borderId="0" xfId="0" applyFont="1" applyAlignment="1">
      <alignment vertical="center" wrapText="1"/>
    </xf>
    <xf numFmtId="0" fontId="39" fillId="6" borderId="4" xfId="0" applyFont="1" applyFill="1" applyBorder="1" applyAlignment="1">
      <alignment horizontal="center" vertical="center" wrapText="1"/>
    </xf>
    <xf numFmtId="0" fontId="40" fillId="10" borderId="0" xfId="0" applyFont="1" applyFill="1" applyAlignment="1">
      <alignment horizontal="center" vertical="center" wrapText="1"/>
    </xf>
    <xf numFmtId="0" fontId="39" fillId="10" borderId="0" xfId="0" applyFont="1" applyFill="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 fillId="0" borderId="0" xfId="0" applyFont="1" applyBorder="1" applyAlignment="1">
      <alignment vertical="center"/>
    </xf>
    <xf numFmtId="0" fontId="23" fillId="0" borderId="0" xfId="0" applyFont="1" applyAlignment="1">
      <alignment vertical="center"/>
    </xf>
    <xf numFmtId="43" fontId="2" fillId="0" borderId="0" xfId="1" applyFont="1" applyFill="1" applyBorder="1" applyAlignment="1">
      <alignment horizontal="center" vertical="center" wrapText="1"/>
    </xf>
    <xf numFmtId="10" fontId="3" fillId="0" borderId="0" xfId="10" applyNumberFormat="1" applyFont="1" applyFill="1" applyBorder="1" applyAlignment="1">
      <alignment horizontal="left" vertical="center"/>
    </xf>
    <xf numFmtId="0" fontId="44" fillId="0" borderId="0" xfId="0" applyFont="1" applyAlignment="1">
      <alignment vertical="center"/>
    </xf>
    <xf numFmtId="0" fontId="40" fillId="10" borderId="0" xfId="0" applyFont="1" applyFill="1" applyAlignment="1">
      <alignment horizontal="left" vertical="top" wrapText="1"/>
    </xf>
    <xf numFmtId="0" fontId="42" fillId="12" borderId="25" xfId="0" applyFont="1" applyFill="1" applyBorder="1" applyAlignment="1">
      <alignment horizontal="left" vertical="center" wrapText="1"/>
    </xf>
    <xf numFmtId="0" fontId="42" fillId="12" borderId="25" xfId="0" applyFont="1" applyFill="1" applyBorder="1" applyAlignment="1">
      <alignment horizontal="center" vertical="center" wrapText="1"/>
    </xf>
    <xf numFmtId="0" fontId="43" fillId="0" borderId="25" xfId="0" applyFont="1" applyFill="1" applyBorder="1" applyAlignment="1">
      <alignment horizontal="left" vertical="center" wrapText="1"/>
    </xf>
    <xf numFmtId="0" fontId="43" fillId="0" borderId="25" xfId="0" applyFont="1" applyFill="1" applyBorder="1" applyAlignment="1">
      <alignment horizontal="center" vertical="center" wrapText="1"/>
    </xf>
    <xf numFmtId="0" fontId="43" fillId="10" borderId="0" xfId="0" applyFont="1" applyFill="1" applyAlignment="1">
      <alignment horizontal="center" vertical="center" wrapText="1"/>
    </xf>
    <xf numFmtId="0" fontId="42" fillId="12" borderId="26" xfId="0" applyFont="1" applyFill="1" applyBorder="1" applyAlignment="1">
      <alignment horizontal="center" vertical="center" wrapText="1"/>
    </xf>
    <xf numFmtId="0" fontId="41" fillId="11" borderId="25" xfId="0" applyFont="1" applyFill="1" applyBorder="1" applyAlignment="1">
      <alignment horizontal="left" vertical="center" wrapText="1"/>
    </xf>
    <xf numFmtId="0" fontId="41" fillId="11" borderId="25" xfId="0" applyFont="1" applyFill="1" applyBorder="1" applyAlignment="1">
      <alignment horizontal="center" vertical="center" wrapText="1"/>
    </xf>
    <xf numFmtId="44" fontId="41" fillId="11" borderId="25" xfId="9" applyFont="1" applyFill="1" applyBorder="1" applyAlignment="1">
      <alignment horizontal="left" vertical="center" wrapText="1"/>
    </xf>
    <xf numFmtId="44" fontId="41" fillId="11" borderId="25" xfId="9" applyFont="1" applyFill="1" applyBorder="1" applyAlignment="1">
      <alignment horizontal="right" vertical="center" wrapText="1"/>
    </xf>
    <xf numFmtId="43" fontId="41" fillId="11" borderId="25" xfId="1" applyFont="1" applyFill="1" applyBorder="1" applyAlignment="1">
      <alignment horizontal="right" vertical="center" wrapText="1"/>
    </xf>
    <xf numFmtId="0" fontId="40" fillId="10" borderId="30" xfId="0" applyFont="1" applyFill="1" applyBorder="1" applyAlignment="1">
      <alignment horizontal="center" vertical="center" wrapText="1"/>
    </xf>
    <xf numFmtId="0" fontId="40" fillId="10" borderId="31" xfId="0" applyFont="1" applyFill="1" applyBorder="1" applyAlignment="1">
      <alignment horizontal="center" vertical="center" wrapText="1"/>
    </xf>
    <xf numFmtId="0" fontId="40" fillId="10" borderId="33" xfId="0" applyFont="1" applyFill="1" applyBorder="1" applyAlignment="1">
      <alignment horizontal="center" vertical="center" wrapText="1"/>
    </xf>
    <xf numFmtId="0" fontId="40" fillId="10" borderId="34" xfId="0" applyFont="1" applyFill="1" applyBorder="1" applyAlignment="1">
      <alignment horizontal="center" vertical="center" wrapText="1"/>
    </xf>
    <xf numFmtId="0" fontId="42" fillId="6" borderId="25" xfId="0" applyFont="1" applyFill="1" applyBorder="1" applyAlignment="1">
      <alignment horizontal="center" vertical="center" wrapText="1"/>
    </xf>
    <xf numFmtId="0" fontId="40" fillId="10" borderId="1" xfId="0" applyFont="1" applyFill="1" applyBorder="1" applyAlignment="1">
      <alignment horizontal="center" vertical="center" wrapText="1"/>
    </xf>
    <xf numFmtId="10" fontId="3" fillId="0" borderId="0" xfId="10" applyNumberFormat="1" applyFont="1" applyFill="1" applyBorder="1" applyAlignment="1">
      <alignment horizontal="left" vertical="center" wrapText="1"/>
    </xf>
    <xf numFmtId="0" fontId="44" fillId="0" borderId="0" xfId="0" applyFont="1"/>
    <xf numFmtId="0" fontId="41" fillId="11" borderId="42" xfId="0" applyFont="1" applyFill="1" applyBorder="1" applyAlignment="1">
      <alignment horizontal="left" vertical="center" wrapText="1"/>
    </xf>
    <xf numFmtId="0" fontId="41" fillId="11" borderId="42" xfId="0" applyFont="1" applyFill="1" applyBorder="1" applyAlignment="1">
      <alignment horizontal="center" vertical="center" wrapText="1"/>
    </xf>
    <xf numFmtId="0" fontId="6" fillId="0" borderId="0" xfId="2" applyFont="1" applyFill="1" applyBorder="1" applyAlignment="1">
      <alignment horizontal="center" vertical="center" wrapText="1"/>
    </xf>
    <xf numFmtId="0" fontId="3" fillId="0" borderId="0" xfId="0" applyFont="1" applyFill="1" applyBorder="1" applyAlignment="1">
      <alignment horizontal="center" vertical="center"/>
    </xf>
    <xf numFmtId="0" fontId="42" fillId="11" borderId="38" xfId="0" applyFont="1" applyFill="1" applyBorder="1" applyAlignment="1">
      <alignment horizontal="center" vertical="center" wrapText="1"/>
    </xf>
    <xf numFmtId="0" fontId="41" fillId="11" borderId="43" xfId="0" applyFont="1" applyFill="1" applyBorder="1" applyAlignment="1">
      <alignment horizontal="center" vertical="center" wrapText="1"/>
    </xf>
    <xf numFmtId="0" fontId="41" fillId="11" borderId="45" xfId="0" applyFont="1" applyFill="1" applyBorder="1" applyAlignment="1">
      <alignment horizontal="center" vertical="center" wrapText="1"/>
    </xf>
    <xf numFmtId="43" fontId="41" fillId="11" borderId="42" xfId="1" applyFont="1" applyFill="1" applyBorder="1" applyAlignment="1">
      <alignment horizontal="right" vertical="center" wrapText="1"/>
    </xf>
    <xf numFmtId="44" fontId="41" fillId="11" borderId="42" xfId="9" applyFont="1" applyFill="1" applyBorder="1" applyAlignment="1">
      <alignment horizontal="left" vertical="center" wrapText="1"/>
    </xf>
    <xf numFmtId="44" fontId="41" fillId="11" borderId="42" xfId="9" applyFont="1" applyFill="1" applyBorder="1" applyAlignment="1">
      <alignment horizontal="right" vertical="center" wrapText="1"/>
    </xf>
    <xf numFmtId="171" fontId="41" fillId="11" borderId="44" xfId="0" applyNumberFormat="1" applyFont="1" applyFill="1" applyBorder="1" applyAlignment="1">
      <alignment horizontal="center" vertical="center" wrapText="1"/>
    </xf>
    <xf numFmtId="171" fontId="41" fillId="11" borderId="46" xfId="0" applyNumberFormat="1" applyFont="1" applyFill="1" applyBorder="1" applyAlignment="1">
      <alignment horizontal="center" vertical="center" wrapText="1"/>
    </xf>
    <xf numFmtId="43" fontId="24" fillId="0" borderId="0" xfId="1" applyFont="1"/>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xf>
    <xf numFmtId="44" fontId="3" fillId="0" borderId="0" xfId="9"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0" fontId="3" fillId="0" borderId="0" xfId="10" applyNumberFormat="1" applyFont="1" applyFill="1" applyBorder="1" applyAlignment="1">
      <alignment vertical="center" wrapText="1"/>
    </xf>
    <xf numFmtId="10" fontId="2" fillId="10" borderId="0" xfId="0" applyNumberFormat="1" applyFont="1" applyFill="1" applyAlignment="1">
      <alignment horizontal="center" vertical="top" wrapText="1"/>
    </xf>
    <xf numFmtId="0" fontId="2" fillId="10" borderId="0" xfId="0" applyFont="1" applyFill="1" applyAlignment="1">
      <alignment vertical="top" wrapText="1"/>
    </xf>
    <xf numFmtId="43" fontId="29" fillId="0" borderId="0" xfId="1" applyFont="1" applyAlignment="1">
      <alignment horizontal="center" vertical="center"/>
    </xf>
    <xf numFmtId="43" fontId="24" fillId="0" borderId="0" xfId="1" applyFont="1" applyAlignment="1">
      <alignment vertical="center"/>
    </xf>
    <xf numFmtId="43" fontId="15" fillId="0" borderId="0" xfId="1" applyFont="1" applyAlignment="1">
      <alignment horizontal="center" vertical="center"/>
    </xf>
    <xf numFmtId="43" fontId="15" fillId="0" borderId="0" xfId="1" applyFont="1" applyAlignment="1">
      <alignment horizontal="center"/>
    </xf>
    <xf numFmtId="43" fontId="15" fillId="0" borderId="0" xfId="1" applyFont="1" applyAlignment="1">
      <alignment vertical="center"/>
    </xf>
    <xf numFmtId="43" fontId="15" fillId="0" borderId="0" xfId="1" applyFont="1" applyAlignment="1">
      <alignment horizontal="left" vertical="center"/>
    </xf>
    <xf numFmtId="0" fontId="15" fillId="0" borderId="6" xfId="2" applyFont="1" applyBorder="1" applyAlignment="1">
      <alignment horizontal="center" vertical="center"/>
    </xf>
    <xf numFmtId="0" fontId="15" fillId="0" borderId="7" xfId="0" applyFont="1" applyBorder="1" applyAlignment="1">
      <alignment vertical="center" wrapText="1"/>
    </xf>
    <xf numFmtId="10" fontId="24" fillId="0" borderId="7" xfId="10" applyNumberFormat="1" applyFont="1" applyBorder="1" applyAlignment="1">
      <alignment horizontal="center" vertical="center"/>
    </xf>
    <xf numFmtId="10" fontId="24" fillId="0" borderId="8" xfId="0" applyNumberFormat="1"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vertical="center" wrapText="1"/>
    </xf>
    <xf numFmtId="0" fontId="15" fillId="0" borderId="12" xfId="2" applyFont="1" applyBorder="1" applyAlignment="1">
      <alignment horizontal="center" vertical="center"/>
    </xf>
    <xf numFmtId="43" fontId="15" fillId="0" borderId="12" xfId="1" applyFont="1" applyFill="1" applyBorder="1" applyAlignment="1">
      <alignment horizontal="center" vertical="center" wrapText="1"/>
    </xf>
    <xf numFmtId="44" fontId="24" fillId="0" borderId="12" xfId="9" applyFont="1" applyBorder="1" applyAlignment="1">
      <alignment vertical="center"/>
    </xf>
    <xf numFmtId="10" fontId="24" fillId="0" borderId="12" xfId="10" applyNumberFormat="1" applyFont="1" applyBorder="1" applyAlignment="1">
      <alignment horizontal="center" vertical="center"/>
    </xf>
    <xf numFmtId="10" fontId="24" fillId="0" borderId="13" xfId="0" applyNumberFormat="1" applyFont="1" applyBorder="1" applyAlignment="1">
      <alignment horizontal="center" vertical="center"/>
    </xf>
    <xf numFmtId="44" fontId="24" fillId="0" borderId="7" xfId="0" applyNumberFormat="1" applyFont="1" applyBorder="1" applyAlignment="1">
      <alignment vertical="center"/>
    </xf>
    <xf numFmtId="10" fontId="24" fillId="0" borderId="8" xfId="10" applyNumberFormat="1" applyFont="1" applyBorder="1" applyAlignment="1">
      <alignment horizontal="center" vertical="center"/>
    </xf>
    <xf numFmtId="44" fontId="24" fillId="0" borderId="12" xfId="0" applyNumberFormat="1" applyFont="1" applyBorder="1" applyAlignment="1">
      <alignment vertical="center"/>
    </xf>
    <xf numFmtId="44" fontId="15" fillId="0" borderId="12" xfId="9" applyFont="1" applyFill="1" applyBorder="1" applyAlignment="1">
      <alignment horizontal="center" vertical="center" wrapText="1"/>
    </xf>
    <xf numFmtId="10" fontId="24" fillId="0" borderId="13" xfId="10" applyNumberFormat="1"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5" fillId="0" borderId="8" xfId="0" applyFont="1" applyBorder="1" applyAlignment="1">
      <alignment horizontal="center" vertical="center"/>
    </xf>
    <xf numFmtId="0" fontId="15" fillId="0" borderId="10" xfId="2" applyFont="1" applyBorder="1" applyAlignment="1">
      <alignment horizontal="center" vertical="center"/>
    </xf>
    <xf numFmtId="0" fontId="15" fillId="0" borderId="13" xfId="2" applyFont="1" applyBorder="1" applyAlignment="1">
      <alignment horizontal="center" vertical="center"/>
    </xf>
    <xf numFmtId="0" fontId="44" fillId="0" borderId="0" xfId="0" applyFont="1" applyAlignment="1">
      <alignment vertical="top" wrapText="1"/>
    </xf>
    <xf numFmtId="0" fontId="30" fillId="0" borderId="0" xfId="0" applyFont="1" applyFill="1" applyAlignment="1"/>
    <xf numFmtId="0" fontId="8" fillId="13" borderId="23" xfId="0" applyFont="1" applyFill="1" applyBorder="1" applyAlignment="1">
      <alignment horizontal="left" vertical="center" wrapText="1"/>
    </xf>
    <xf numFmtId="43" fontId="8" fillId="0" borderId="10" xfId="1" applyFont="1" applyFill="1" applyBorder="1" applyAlignment="1">
      <alignment horizontal="right" vertical="center"/>
    </xf>
    <xf numFmtId="0" fontId="8" fillId="0" borderId="23" xfId="2" applyFont="1" applyBorder="1" applyAlignment="1">
      <alignment vertical="center" wrapText="1"/>
    </xf>
    <xf numFmtId="0" fontId="8" fillId="0" borderId="9" xfId="2" applyFont="1" applyBorder="1" applyAlignment="1">
      <alignment horizontal="center" vertical="center"/>
    </xf>
    <xf numFmtId="0" fontId="8" fillId="0" borderId="23" xfId="2" applyFont="1" applyBorder="1" applyAlignment="1">
      <alignment horizontal="left" vertical="center" wrapText="1"/>
    </xf>
    <xf numFmtId="0" fontId="6" fillId="2" borderId="23" xfId="2" applyFont="1" applyFill="1" applyBorder="1" applyAlignment="1">
      <alignment horizontal="center"/>
    </xf>
    <xf numFmtId="0" fontId="6" fillId="0" borderId="23" xfId="2" applyFont="1" applyBorder="1" applyAlignment="1">
      <alignment vertical="center"/>
    </xf>
    <xf numFmtId="43" fontId="6" fillId="0" borderId="10" xfId="1" applyFont="1" applyFill="1" applyBorder="1" applyAlignment="1">
      <alignment horizontal="right" vertical="center"/>
    </xf>
    <xf numFmtId="49" fontId="8" fillId="2" borderId="41" xfId="2" applyNumberFormat="1" applyFont="1" applyFill="1" applyBorder="1" applyAlignment="1">
      <alignment horizontal="center" vertical="center"/>
    </xf>
    <xf numFmtId="0" fontId="8" fillId="0"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2" borderId="18" xfId="2" applyFont="1" applyFill="1" applyBorder="1" applyAlignment="1">
      <alignment horizontal="center" vertical="center" wrapText="1"/>
    </xf>
    <xf numFmtId="0" fontId="8" fillId="0" borderId="18" xfId="2" applyFont="1" applyFill="1" applyBorder="1" applyAlignment="1">
      <alignment horizontal="left" vertical="center" wrapText="1"/>
    </xf>
    <xf numFmtId="0" fontId="8" fillId="0" borderId="50" xfId="2" applyFont="1" applyFill="1" applyBorder="1" applyAlignment="1">
      <alignment horizontal="center" vertical="center"/>
    </xf>
    <xf numFmtId="0" fontId="7" fillId="0" borderId="51" xfId="0" applyFont="1" applyBorder="1" applyAlignment="1">
      <alignment vertical="center" wrapText="1"/>
    </xf>
    <xf numFmtId="0" fontId="7" fillId="0" borderId="23" xfId="0" applyFont="1" applyBorder="1" applyAlignment="1">
      <alignment vertical="center" wrapText="1"/>
    </xf>
    <xf numFmtId="0" fontId="8" fillId="0" borderId="52" xfId="2" applyFont="1" applyFill="1" applyBorder="1" applyAlignment="1">
      <alignment horizontal="center" vertical="center"/>
    </xf>
    <xf numFmtId="0" fontId="8" fillId="0" borderId="5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41" xfId="0" applyFont="1" applyBorder="1" applyAlignment="1">
      <alignment vertical="center" wrapText="1"/>
    </xf>
    <xf numFmtId="49" fontId="8" fillId="0" borderId="40"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1" xfId="2" applyFont="1" applyFill="1" applyBorder="1" applyAlignment="1">
      <alignment horizontal="center" vertical="center"/>
    </xf>
    <xf numFmtId="0" fontId="8" fillId="2" borderId="41"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40" xfId="2" applyFont="1" applyFill="1" applyBorder="1" applyAlignment="1">
      <alignment horizontal="center" vertical="center"/>
    </xf>
    <xf numFmtId="49" fontId="6" fillId="7" borderId="40"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wrapText="1"/>
    </xf>
    <xf numFmtId="0" fontId="6" fillId="7" borderId="41" xfId="2" applyFont="1" applyFill="1" applyBorder="1" applyAlignment="1">
      <alignment horizontal="center" vertical="center"/>
    </xf>
    <xf numFmtId="0" fontId="6" fillId="0" borderId="41" xfId="2" applyFont="1" applyFill="1" applyBorder="1" applyAlignment="1">
      <alignment horizontal="center" vertical="center"/>
    </xf>
    <xf numFmtId="0" fontId="8" fillId="2" borderId="40" xfId="2" applyFont="1" applyFill="1" applyBorder="1" applyAlignment="1">
      <alignment horizontal="center" vertical="center" wrapText="1"/>
    </xf>
    <xf numFmtId="0" fontId="8" fillId="2" borderId="49" xfId="2" applyFont="1" applyFill="1" applyBorder="1" applyAlignment="1">
      <alignment horizontal="center" vertical="center" wrapText="1"/>
    </xf>
    <xf numFmtId="0" fontId="8" fillId="2" borderId="50"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0" borderId="23" xfId="0" applyFont="1" applyFill="1" applyBorder="1" applyAlignment="1">
      <alignment vertical="center" wrapText="1"/>
    </xf>
    <xf numFmtId="0" fontId="47" fillId="0" borderId="24" xfId="0" applyFont="1" applyFill="1" applyBorder="1" applyAlignment="1">
      <alignment vertical="center" wrapText="1"/>
    </xf>
    <xf numFmtId="0" fontId="47" fillId="0" borderId="23" xfId="0" applyFont="1" applyFill="1" applyBorder="1" applyAlignment="1">
      <alignment vertical="center" wrapText="1"/>
    </xf>
    <xf numFmtId="0" fontId="48" fillId="0" borderId="23" xfId="0" applyFont="1" applyFill="1" applyBorder="1" applyAlignment="1">
      <alignment vertical="center" wrapText="1"/>
    </xf>
    <xf numFmtId="0" fontId="47" fillId="0" borderId="51" xfId="0" applyFont="1" applyFill="1" applyBorder="1" applyAlignment="1">
      <alignment vertical="center" wrapText="1"/>
    </xf>
    <xf numFmtId="0" fontId="47" fillId="0" borderId="49" xfId="0" applyFont="1" applyFill="1" applyBorder="1" applyAlignment="1">
      <alignment vertical="center" wrapText="1"/>
    </xf>
    <xf numFmtId="0" fontId="48" fillId="0" borderId="51" xfId="0" applyFont="1" applyFill="1" applyBorder="1" applyAlignment="1">
      <alignment vertical="center" wrapText="1"/>
    </xf>
    <xf numFmtId="0" fontId="8" fillId="0" borderId="49" xfId="2" applyFont="1" applyFill="1" applyBorder="1" applyAlignment="1">
      <alignment horizontal="left" vertical="center" wrapText="1"/>
    </xf>
    <xf numFmtId="0" fontId="8" fillId="0" borderId="0" xfId="0" applyFont="1" applyFill="1" applyAlignment="1">
      <alignment horizontal="center" vertical="center"/>
    </xf>
    <xf numFmtId="0" fontId="8" fillId="0" borderId="49" xfId="2" applyFont="1" applyFill="1" applyBorder="1" applyAlignment="1">
      <alignment vertical="center" wrapText="1"/>
    </xf>
    <xf numFmtId="0" fontId="8" fillId="2" borderId="53" xfId="0" applyFont="1" applyFill="1" applyBorder="1" applyAlignment="1">
      <alignment horizontal="center" vertical="center"/>
    </xf>
    <xf numFmtId="0" fontId="8" fillId="2" borderId="52" xfId="2"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wrapText="1"/>
    </xf>
    <xf numFmtId="0" fontId="6" fillId="7" borderId="24" xfId="0" applyFont="1" applyFill="1" applyBorder="1" applyAlignment="1">
      <alignment horizontal="left" vertical="center" wrapText="1"/>
    </xf>
    <xf numFmtId="0" fontId="8" fillId="2" borderId="52" xfId="0" applyFont="1" applyFill="1" applyBorder="1" applyAlignment="1">
      <alignment horizontal="center" vertical="center"/>
    </xf>
    <xf numFmtId="0" fontId="8" fillId="2" borderId="50" xfId="0" applyFont="1" applyFill="1" applyBorder="1" applyAlignment="1">
      <alignment horizontal="center" vertical="center"/>
    </xf>
    <xf numFmtId="0" fontId="7" fillId="0" borderId="24" xfId="0" applyFont="1" applyFill="1" applyBorder="1" applyAlignment="1">
      <alignment vertical="center" wrapText="1"/>
    </xf>
    <xf numFmtId="0" fontId="7" fillId="0" borderId="23" xfId="0" applyFont="1" applyFill="1" applyBorder="1" applyAlignment="1">
      <alignment vertical="center" wrapText="1"/>
    </xf>
    <xf numFmtId="0" fontId="7" fillId="0" borderId="49" xfId="0" applyFont="1" applyFill="1" applyBorder="1" applyAlignment="1">
      <alignment vertical="center" wrapText="1"/>
    </xf>
    <xf numFmtId="0" fontId="7" fillId="0" borderId="51" xfId="0" applyFont="1" applyFill="1" applyBorder="1" applyAlignment="1">
      <alignment vertical="center" wrapText="1"/>
    </xf>
    <xf numFmtId="0" fontId="8" fillId="0" borderId="0" xfId="2" applyFont="1" applyFill="1" applyBorder="1" applyAlignment="1">
      <alignment horizontal="left" vertical="center" wrapText="1"/>
    </xf>
    <xf numFmtId="0" fontId="6" fillId="0" borderId="9" xfId="2" applyFont="1" applyFill="1" applyBorder="1" applyAlignment="1">
      <alignment horizontal="center" vertical="center"/>
    </xf>
    <xf numFmtId="0" fontId="6" fillId="0" borderId="23" xfId="2" applyFont="1" applyFill="1" applyBorder="1" applyAlignment="1">
      <alignment vertical="center"/>
    </xf>
    <xf numFmtId="2" fontId="8" fillId="0" borderId="9" xfId="2" applyNumberFormat="1" applyFont="1" applyFill="1" applyBorder="1" applyAlignment="1">
      <alignment horizontal="center" vertical="center"/>
    </xf>
    <xf numFmtId="0" fontId="8" fillId="0" borderId="40" xfId="2" applyFont="1" applyFill="1" applyBorder="1" applyAlignment="1">
      <alignment horizontal="center" vertical="center" wrapText="1"/>
    </xf>
    <xf numFmtId="0" fontId="8" fillId="0" borderId="41" xfId="0" applyFont="1" applyFill="1" applyBorder="1" applyAlignment="1">
      <alignment horizontal="center" vertical="center"/>
    </xf>
    <xf numFmtId="0" fontId="8" fillId="0" borderId="49" xfId="0" applyFont="1" applyFill="1" applyBorder="1" applyAlignment="1">
      <alignment vertical="center"/>
    </xf>
    <xf numFmtId="0" fontId="8" fillId="0" borderId="40" xfId="2" applyFont="1" applyBorder="1" applyAlignment="1">
      <alignment horizontal="center" vertical="center" wrapText="1"/>
    </xf>
    <xf numFmtId="0" fontId="8" fillId="0" borderId="41" xfId="0" applyFont="1" applyBorder="1" applyAlignment="1">
      <alignment horizontal="center" vertical="center"/>
    </xf>
    <xf numFmtId="0" fontId="8" fillId="2" borderId="53" xfId="0" applyFont="1" applyFill="1" applyBorder="1" applyAlignment="1">
      <alignment horizontal="center" vertical="center" wrapText="1"/>
    </xf>
    <xf numFmtId="43" fontId="8" fillId="0" borderId="49" xfId="1" applyFont="1" applyFill="1" applyBorder="1" applyAlignment="1">
      <alignment vertical="center"/>
    </xf>
    <xf numFmtId="0" fontId="8" fillId="0" borderId="49" xfId="0" applyFont="1" applyFill="1" applyBorder="1" applyAlignment="1">
      <alignment horizontal="left" vertical="center" wrapText="1"/>
    </xf>
    <xf numFmtId="0" fontId="7" fillId="0" borderId="55" xfId="0" applyFont="1" applyFill="1" applyBorder="1" applyAlignment="1">
      <alignment vertical="center" wrapText="1"/>
    </xf>
    <xf numFmtId="0" fontId="8" fillId="0" borderId="54" xfId="0" applyFont="1" applyFill="1" applyBorder="1" applyAlignment="1">
      <alignment horizontal="left" vertical="center" wrapText="1"/>
    </xf>
    <xf numFmtId="0" fontId="7" fillId="0" borderId="54" xfId="0" applyFont="1" applyFill="1" applyBorder="1" applyAlignment="1">
      <alignment vertical="center" wrapText="1"/>
    </xf>
    <xf numFmtId="0" fontId="35" fillId="0" borderId="9"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3" xfId="0" applyFont="1" applyFill="1" applyBorder="1" applyAlignment="1">
      <alignment horizontal="left" vertical="center" wrapText="1"/>
    </xf>
    <xf numFmtId="0" fontId="6" fillId="0" borderId="23" xfId="2" applyFont="1" applyFill="1" applyBorder="1" applyAlignment="1">
      <alignment horizontal="right" vertical="center" wrapText="1"/>
    </xf>
    <xf numFmtId="0" fontId="8" fillId="0" borderId="54" xfId="2" applyFont="1" applyFill="1" applyBorder="1" applyAlignment="1">
      <alignment horizontal="center" vertical="center"/>
    </xf>
    <xf numFmtId="0" fontId="8" fillId="0" borderId="54" xfId="2" applyFont="1" applyFill="1" applyBorder="1" applyAlignment="1">
      <alignment horizontal="right" vertical="center" wrapText="1"/>
    </xf>
    <xf numFmtId="43" fontId="8" fillId="0" borderId="54" xfId="1" applyFont="1" applyFill="1" applyBorder="1" applyAlignment="1">
      <alignment vertical="center"/>
    </xf>
    <xf numFmtId="0" fontId="6" fillId="0" borderId="54" xfId="2" applyFont="1" applyFill="1" applyBorder="1" applyAlignment="1">
      <alignment horizontal="center" vertical="center"/>
    </xf>
    <xf numFmtId="43" fontId="6" fillId="0" borderId="54" xfId="1" applyFont="1" applyFill="1" applyBorder="1" applyAlignment="1">
      <alignment vertical="center"/>
    </xf>
    <xf numFmtId="43" fontId="8" fillId="0" borderId="23" xfId="1"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4" xfId="2" applyFont="1" applyFill="1" applyBorder="1" applyAlignment="1">
      <alignment horizontal="left" vertical="center" wrapText="1"/>
    </xf>
    <xf numFmtId="0" fontId="8" fillId="0" borderId="54" xfId="0" applyFont="1" applyFill="1" applyBorder="1" applyAlignment="1">
      <alignment horizontal="center" vertical="center"/>
    </xf>
    <xf numFmtId="43" fontId="8" fillId="0" borderId="54" xfId="1" applyFont="1" applyFill="1" applyBorder="1" applyAlignment="1">
      <alignment horizontal="center" vertical="center" wrapText="1"/>
    </xf>
    <xf numFmtId="49" fontId="8" fillId="0" borderId="54" xfId="2" applyNumberFormat="1" applyFont="1" applyFill="1" applyBorder="1" applyAlignment="1">
      <alignment horizontal="center" vertical="center"/>
    </xf>
    <xf numFmtId="0" fontId="39" fillId="6" borderId="28" xfId="0" applyFont="1" applyFill="1" applyBorder="1" applyAlignment="1">
      <alignment horizontal="center" vertical="center" wrapText="1"/>
    </xf>
    <xf numFmtId="0" fontId="39" fillId="6" borderId="25" xfId="0" applyFont="1" applyFill="1" applyBorder="1" applyAlignment="1">
      <alignment horizontal="center" vertical="center" wrapText="1"/>
    </xf>
    <xf numFmtId="10" fontId="3" fillId="0" borderId="0" xfId="10" applyNumberFormat="1" applyFont="1" applyFill="1" applyBorder="1" applyAlignment="1">
      <alignment horizontal="center" vertical="center" wrapText="1"/>
    </xf>
    <xf numFmtId="0" fontId="8" fillId="0" borderId="54" xfId="2" applyFont="1" applyFill="1" applyBorder="1" applyAlignment="1">
      <alignment vertical="center" wrapText="1"/>
    </xf>
    <xf numFmtId="0" fontId="25" fillId="0" borderId="54" xfId="2" applyFont="1" applyFill="1" applyBorder="1" applyAlignment="1">
      <alignment horizontal="center" vertical="center"/>
    </xf>
    <xf numFmtId="43" fontId="25" fillId="0" borderId="54" xfId="1" applyFont="1" applyFill="1" applyBorder="1" applyAlignment="1">
      <alignment vertical="center"/>
    </xf>
    <xf numFmtId="0" fontId="8" fillId="0" borderId="54" xfId="2" applyFont="1" applyFill="1" applyBorder="1" applyAlignment="1">
      <alignment horizontal="center" vertical="center" wrapText="1"/>
    </xf>
    <xf numFmtId="0" fontId="8" fillId="0" borderId="54" xfId="0" applyFont="1" applyBorder="1" applyAlignment="1">
      <alignment horizontal="center" vertical="center"/>
    </xf>
    <xf numFmtId="43" fontId="8" fillId="0" borderId="54" xfId="1" applyFont="1" applyBorder="1" applyAlignment="1">
      <alignment vertical="center"/>
    </xf>
    <xf numFmtId="0" fontId="25" fillId="0" borderId="54" xfId="2" applyFont="1" applyFill="1" applyBorder="1" applyAlignment="1">
      <alignment vertical="center"/>
    </xf>
    <xf numFmtId="0" fontId="8" fillId="0" borderId="54" xfId="2" applyFont="1" applyFill="1" applyBorder="1" applyAlignment="1">
      <alignment vertical="center"/>
    </xf>
    <xf numFmtId="43" fontId="25" fillId="0" borderId="23" xfId="1" applyFont="1" applyFill="1" applyBorder="1" applyAlignment="1">
      <alignment horizontal="center" vertical="center"/>
    </xf>
    <xf numFmtId="0" fontId="8" fillId="0" borderId="0" xfId="0" applyFont="1" applyFill="1" applyBorder="1" applyAlignment="1">
      <alignment vertical="center"/>
    </xf>
    <xf numFmtId="0" fontId="8" fillId="0" borderId="56" xfId="2" applyFont="1" applyBorder="1" applyAlignment="1">
      <alignment horizontal="center" vertical="center" wrapText="1"/>
    </xf>
    <xf numFmtId="0" fontId="8" fillId="0" borderId="56" xfId="2" applyFont="1" applyBorder="1" applyAlignment="1">
      <alignment horizontal="center" vertical="center"/>
    </xf>
    <xf numFmtId="0" fontId="8" fillId="0" borderId="56" xfId="2" applyFont="1" applyFill="1" applyBorder="1" applyAlignment="1">
      <alignment vertical="center" wrapText="1"/>
    </xf>
    <xf numFmtId="0" fontId="8" fillId="2" borderId="56" xfId="0" applyFont="1" applyFill="1" applyBorder="1" applyAlignment="1">
      <alignment horizontal="center" vertical="center"/>
    </xf>
    <xf numFmtId="43" fontId="8" fillId="0" borderId="56" xfId="1" applyFont="1" applyFill="1" applyBorder="1" applyAlignment="1">
      <alignment vertical="center"/>
    </xf>
    <xf numFmtId="49" fontId="8" fillId="0" borderId="56" xfId="2" applyNumberFormat="1" applyFont="1" applyBorder="1" applyAlignment="1">
      <alignment horizontal="left" vertical="center" wrapText="1"/>
    </xf>
    <xf numFmtId="49" fontId="8" fillId="0" borderId="56" xfId="2" applyNumberFormat="1" applyFont="1" applyBorder="1" applyAlignment="1">
      <alignment horizontal="center" vertical="center" wrapText="1"/>
    </xf>
    <xf numFmtId="49" fontId="8" fillId="2" borderId="23" xfId="2" applyNumberFormat="1" applyFont="1" applyFill="1" applyBorder="1" applyAlignment="1">
      <alignment horizontal="center" vertical="center"/>
    </xf>
    <xf numFmtId="49" fontId="8" fillId="0" borderId="23" xfId="2" applyNumberFormat="1" applyFont="1" applyFill="1" applyBorder="1" applyAlignment="1">
      <alignment horizontal="center" vertical="center" wrapText="1"/>
    </xf>
    <xf numFmtId="165" fontId="8" fillId="0" borderId="23" xfId="1" applyNumberFormat="1" applyFont="1" applyFill="1" applyBorder="1" applyAlignment="1">
      <alignment vertical="center"/>
    </xf>
    <xf numFmtId="0" fontId="8" fillId="0" borderId="56" xfId="2" applyFont="1" applyFill="1" applyBorder="1" applyAlignment="1">
      <alignment horizontal="center" vertical="center"/>
    </xf>
    <xf numFmtId="0" fontId="8" fillId="0" borderId="56" xfId="2" applyFont="1" applyFill="1" applyBorder="1" applyAlignment="1">
      <alignment horizontal="center" vertical="center" wrapText="1"/>
    </xf>
    <xf numFmtId="0" fontId="25" fillId="0" borderId="23" xfId="2" applyFont="1" applyFill="1" applyBorder="1" applyAlignment="1">
      <alignment horizontal="right" vertical="center" wrapText="1"/>
    </xf>
    <xf numFmtId="43" fontId="25" fillId="0" borderId="23" xfId="2" applyNumberFormat="1" applyFont="1" applyFill="1" applyBorder="1" applyAlignment="1">
      <alignment horizontal="center" vertical="center"/>
    </xf>
    <xf numFmtId="43" fontId="6" fillId="0" borderId="23" xfId="2" applyNumberFormat="1" applyFont="1" applyFill="1" applyBorder="1" applyAlignment="1">
      <alignment horizontal="center" vertical="center"/>
    </xf>
    <xf numFmtId="49" fontId="8" fillId="0" borderId="56" xfId="2" applyNumberFormat="1" applyFont="1" applyFill="1" applyBorder="1" applyAlignment="1">
      <alignment horizontal="center" vertical="center"/>
    </xf>
    <xf numFmtId="49" fontId="8" fillId="0" borderId="56" xfId="2" applyNumberFormat="1"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6" xfId="0" applyFont="1" applyBorder="1" applyAlignment="1">
      <alignment horizontal="center" vertical="center"/>
    </xf>
    <xf numFmtId="43" fontId="8" fillId="0" borderId="56" xfId="1" applyFont="1" applyBorder="1" applyAlignment="1">
      <alignment vertical="center"/>
    </xf>
    <xf numFmtId="0" fontId="8" fillId="0" borderId="56" xfId="2" applyFont="1" applyFill="1" applyBorder="1" applyAlignment="1">
      <alignment horizontal="left" vertical="center" wrapText="1"/>
    </xf>
    <xf numFmtId="49" fontId="8" fillId="0" borderId="56" xfId="2" applyNumberFormat="1"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5" xfId="0" applyFont="1" applyFill="1" applyBorder="1" applyAlignment="1">
      <alignment horizontal="left" vertical="center" wrapText="1"/>
    </xf>
    <xf numFmtId="43" fontId="42" fillId="0" borderId="25" xfId="1" applyFont="1" applyFill="1" applyBorder="1" applyAlignment="1">
      <alignment horizontal="right" vertical="center" wrapText="1"/>
    </xf>
    <xf numFmtId="44" fontId="42" fillId="0" borderId="25" xfId="9" applyFont="1" applyFill="1" applyBorder="1" applyAlignment="1">
      <alignment horizontal="right" vertical="center" wrapText="1"/>
    </xf>
    <xf numFmtId="0" fontId="42" fillId="0" borderId="45" xfId="0" applyFont="1" applyFill="1" applyBorder="1" applyAlignment="1">
      <alignment horizontal="center" vertical="center" wrapText="1"/>
    </xf>
    <xf numFmtId="171" fontId="42" fillId="0" borderId="46" xfId="0" applyNumberFormat="1" applyFont="1" applyFill="1" applyBorder="1" applyAlignment="1">
      <alignment horizontal="center" vertical="center" wrapText="1"/>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wrapText="1"/>
    </xf>
    <xf numFmtId="0" fontId="42" fillId="0" borderId="58" xfId="0" applyFont="1" applyFill="1" applyBorder="1" applyAlignment="1">
      <alignment horizontal="left" vertical="center" wrapText="1"/>
    </xf>
    <xf numFmtId="43" fontId="42" fillId="0" borderId="58" xfId="1" applyFont="1" applyFill="1" applyBorder="1" applyAlignment="1">
      <alignment horizontal="right" vertical="center" wrapText="1"/>
    </xf>
    <xf numFmtId="44" fontId="42" fillId="0" borderId="58" xfId="9" applyFont="1" applyFill="1" applyBorder="1" applyAlignment="1">
      <alignment horizontal="right" vertical="center" wrapText="1"/>
    </xf>
    <xf numFmtId="171" fontId="42" fillId="0" borderId="59" xfId="0" applyNumberFormat="1" applyFont="1" applyFill="1" applyBorder="1" applyAlignment="1">
      <alignment horizontal="center" vertical="center" wrapText="1"/>
    </xf>
    <xf numFmtId="0" fontId="41" fillId="11" borderId="4" xfId="0" applyFont="1" applyFill="1" applyBorder="1" applyAlignment="1">
      <alignment horizontal="center" vertical="center" wrapText="1"/>
    </xf>
    <xf numFmtId="44" fontId="41" fillId="11" borderId="4" xfId="9" applyFont="1" applyFill="1" applyBorder="1" applyAlignment="1">
      <alignment horizontal="center" vertical="center" wrapText="1"/>
    </xf>
    <xf numFmtId="0" fontId="41" fillId="11" borderId="15"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66" xfId="0" applyBorder="1" applyAlignment="1">
      <alignment vertical="center"/>
    </xf>
    <xf numFmtId="0" fontId="8" fillId="0" borderId="0" xfId="0" applyFont="1" applyBorder="1" applyAlignment="1">
      <alignment horizontal="center" vertical="center"/>
    </xf>
    <xf numFmtId="0" fontId="39" fillId="10" borderId="0" xfId="0" applyFont="1" applyFill="1" applyAlignment="1">
      <alignment horizontal="center" vertical="center" wrapText="1"/>
    </xf>
    <xf numFmtId="0" fontId="3" fillId="0" borderId="0" xfId="2" applyFont="1" applyFill="1" applyBorder="1" applyAlignment="1">
      <alignment horizontal="center" vertical="center" wrapText="1"/>
    </xf>
    <xf numFmtId="0" fontId="2" fillId="0" borderId="0" xfId="0" applyFont="1" applyBorder="1" applyAlignment="1">
      <alignment horizontal="center" vertical="center"/>
    </xf>
    <xf numFmtId="0" fontId="44" fillId="0" borderId="0" xfId="0" applyFont="1" applyAlignment="1">
      <alignment horizontal="center" vertical="center"/>
    </xf>
    <xf numFmtId="0" fontId="3" fillId="0" borderId="0" xfId="0" applyFont="1" applyFill="1" applyBorder="1" applyAlignment="1">
      <alignment horizontal="center" vertical="center" wrapText="1"/>
    </xf>
    <xf numFmtId="0" fontId="3" fillId="10" borderId="0" xfId="0" applyFont="1" applyFill="1" applyAlignment="1">
      <alignment horizontal="center" vertical="center" wrapText="1"/>
    </xf>
    <xf numFmtId="0" fontId="39" fillId="10" borderId="37" xfId="0" applyFont="1" applyFill="1" applyBorder="1" applyAlignment="1">
      <alignment horizontal="center" vertical="center" wrapText="1"/>
    </xf>
    <xf numFmtId="0" fontId="0" fillId="0" borderId="37" xfId="0" applyBorder="1" applyAlignment="1">
      <alignment horizontal="center" vertical="center"/>
    </xf>
    <xf numFmtId="170" fontId="42" fillId="12" borderId="25" xfId="0" applyNumberFormat="1" applyFont="1" applyFill="1" applyBorder="1" applyAlignment="1">
      <alignment horizontal="center" vertical="center" wrapText="1"/>
    </xf>
    <xf numFmtId="170" fontId="43" fillId="0" borderId="25" xfId="0" applyNumberFormat="1" applyFont="1" applyFill="1" applyBorder="1" applyAlignment="1">
      <alignment horizontal="center" vertical="center" wrapText="1"/>
    </xf>
    <xf numFmtId="0" fontId="0" fillId="0" borderId="0" xfId="0" applyFill="1" applyAlignment="1">
      <alignment horizontal="center" vertical="center"/>
    </xf>
    <xf numFmtId="44" fontId="40" fillId="10" borderId="0" xfId="9" applyFont="1" applyFill="1" applyAlignment="1">
      <alignment horizontal="center" vertical="center" wrapText="1"/>
    </xf>
    <xf numFmtId="0" fontId="36" fillId="0" borderId="0" xfId="0" applyFont="1" applyAlignment="1">
      <alignment horizontal="center" vertical="center"/>
    </xf>
    <xf numFmtId="44" fontId="40" fillId="10" borderId="1" xfId="9" applyFont="1" applyFill="1" applyBorder="1" applyAlignment="1">
      <alignment horizontal="center" vertical="center" wrapText="1"/>
    </xf>
    <xf numFmtId="0" fontId="36" fillId="0" borderId="0" xfId="0" applyFont="1" applyFill="1" applyAlignment="1">
      <alignment horizontal="center" vertical="center"/>
    </xf>
    <xf numFmtId="44" fontId="40" fillId="10" borderId="32" xfId="9" applyFont="1" applyFill="1" applyBorder="1" applyAlignment="1">
      <alignment horizontal="center" vertical="center" wrapText="1"/>
    </xf>
    <xf numFmtId="44" fontId="40" fillId="10" borderId="35" xfId="9" applyFont="1" applyFill="1" applyBorder="1" applyAlignment="1">
      <alignment horizontal="center" vertical="center" wrapText="1"/>
    </xf>
    <xf numFmtId="44" fontId="40" fillId="10" borderId="25" xfId="9" applyFont="1" applyFill="1" applyBorder="1" applyAlignment="1">
      <alignment horizontal="center" vertical="center" wrapText="1"/>
    </xf>
    <xf numFmtId="44" fontId="40" fillId="10" borderId="29" xfId="9" applyFont="1" applyFill="1" applyBorder="1" applyAlignment="1">
      <alignment horizontal="center" vertical="center" wrapText="1"/>
    </xf>
    <xf numFmtId="4" fontId="40" fillId="10" borderId="0" xfId="0" applyNumberFormat="1" applyFont="1" applyFill="1" applyAlignment="1">
      <alignment horizontal="center" vertical="center" wrapText="1"/>
    </xf>
    <xf numFmtId="44" fontId="42" fillId="12" borderId="25" xfId="9" applyFont="1" applyFill="1" applyBorder="1" applyAlignment="1">
      <alignment horizontal="center" vertical="center" wrapText="1"/>
    </xf>
    <xf numFmtId="44" fontId="43" fillId="0" borderId="25" xfId="9" applyFont="1" applyFill="1" applyBorder="1" applyAlignment="1">
      <alignment horizontal="center" vertical="center" wrapText="1"/>
    </xf>
    <xf numFmtId="0" fontId="3" fillId="0" borderId="0" xfId="0" applyFont="1" applyFill="1" applyBorder="1" applyAlignment="1">
      <alignment horizontal="left" vertical="center"/>
    </xf>
    <xf numFmtId="0" fontId="44" fillId="0" borderId="0" xfId="0" applyFont="1" applyAlignment="1">
      <alignment horizontal="left" vertical="center"/>
    </xf>
    <xf numFmtId="0" fontId="42" fillId="0" borderId="39"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0" fillId="6" borderId="4" xfId="0" applyFont="1" applyFill="1" applyBorder="1" applyAlignment="1">
      <alignment horizontal="center" vertical="center" wrapText="1"/>
    </xf>
    <xf numFmtId="44" fontId="40" fillId="6" borderId="4" xfId="9"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1" fillId="11" borderId="46" xfId="0" applyFont="1" applyFill="1" applyBorder="1" applyAlignment="1">
      <alignment horizontal="center" vertical="center" wrapText="1"/>
    </xf>
    <xf numFmtId="0" fontId="42" fillId="0" borderId="46" xfId="0" applyFont="1" applyFill="1" applyBorder="1" applyAlignment="1">
      <alignment horizontal="center" vertical="center" wrapText="1"/>
    </xf>
    <xf numFmtId="0" fontId="42" fillId="11" borderId="71"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48" xfId="0" applyFont="1" applyFill="1" applyBorder="1" applyAlignment="1">
      <alignment horizontal="left" vertical="center" wrapText="1"/>
    </xf>
    <xf numFmtId="0" fontId="42" fillId="0" borderId="48"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51" fillId="0" borderId="0" xfId="2" applyFont="1" applyFill="1" applyBorder="1" applyAlignment="1">
      <alignment vertical="center" wrapText="1"/>
    </xf>
    <xf numFmtId="0" fontId="51" fillId="0" borderId="0" xfId="2" applyFont="1" applyFill="1" applyBorder="1" applyAlignment="1">
      <alignment horizontal="center" vertical="center" wrapText="1"/>
    </xf>
    <xf numFmtId="0" fontId="52" fillId="0" borderId="0" xfId="0" applyFont="1" applyBorder="1" applyAlignment="1">
      <alignment vertical="center"/>
    </xf>
    <xf numFmtId="0" fontId="53" fillId="0" borderId="0" xfId="0" applyFont="1"/>
    <xf numFmtId="0" fontId="53" fillId="0" borderId="0" xfId="0" applyFont="1" applyAlignment="1">
      <alignment vertical="center"/>
    </xf>
    <xf numFmtId="0" fontId="53" fillId="0" borderId="0" xfId="0" applyFont="1" applyBorder="1"/>
    <xf numFmtId="0" fontId="7" fillId="0" borderId="0" xfId="0" applyFont="1" applyBorder="1"/>
    <xf numFmtId="0" fontId="44" fillId="0" borderId="0" xfId="0" applyFont="1" applyBorder="1"/>
    <xf numFmtId="0" fontId="23" fillId="0" borderId="1" xfId="0" applyFont="1" applyBorder="1" applyAlignment="1">
      <alignment horizontal="center" vertical="center"/>
    </xf>
    <xf numFmtId="0" fontId="23" fillId="0" borderId="1" xfId="0" applyFont="1" applyBorder="1" applyAlignment="1">
      <alignment vertical="center"/>
    </xf>
    <xf numFmtId="0" fontId="44" fillId="0" borderId="0" xfId="0" applyFont="1" applyAlignment="1">
      <alignment vertical="center" wrapText="1"/>
    </xf>
    <xf numFmtId="0" fontId="23" fillId="0" borderId="0" xfId="0" applyFont="1" applyAlignment="1">
      <alignment horizontal="left" vertical="center"/>
    </xf>
    <xf numFmtId="0" fontId="15" fillId="0" borderId="54" xfId="2" applyFont="1" applyBorder="1" applyAlignment="1">
      <alignment vertical="center" wrapText="1"/>
    </xf>
    <xf numFmtId="0" fontId="15" fillId="0" borderId="54" xfId="2" applyFont="1" applyBorder="1" applyAlignment="1">
      <alignment horizontal="center" vertical="center"/>
    </xf>
    <xf numFmtId="43" fontId="15" fillId="0" borderId="54" xfId="1" applyFont="1" applyFill="1" applyBorder="1" applyAlignment="1">
      <alignment horizontal="center" vertical="center" wrapText="1"/>
    </xf>
    <xf numFmtId="44" fontId="24" fillId="0" borderId="54" xfId="0" applyNumberFormat="1" applyFont="1" applyBorder="1" applyAlignment="1">
      <alignment vertical="center"/>
    </xf>
    <xf numFmtId="44" fontId="15" fillId="0" borderId="54" xfId="9" applyFont="1" applyFill="1" applyBorder="1" applyAlignment="1">
      <alignment horizontal="center" vertical="center" wrapText="1"/>
    </xf>
    <xf numFmtId="44" fontId="24" fillId="0" borderId="54" xfId="9" applyFont="1" applyBorder="1" applyAlignment="1">
      <alignment vertical="center"/>
    </xf>
    <xf numFmtId="10" fontId="24" fillId="0" borderId="54" xfId="10" applyNumberFormat="1" applyFont="1" applyBorder="1" applyAlignment="1">
      <alignment horizontal="center" vertical="center"/>
    </xf>
    <xf numFmtId="4" fontId="6" fillId="7" borderId="4" xfId="0" applyNumberFormat="1" applyFont="1" applyFill="1" applyBorder="1" applyAlignment="1">
      <alignment horizontal="center" vertical="center" wrapText="1"/>
    </xf>
    <xf numFmtId="0" fontId="9" fillId="7" borderId="2" xfId="2" applyFont="1" applyFill="1" applyBorder="1" applyAlignment="1">
      <alignment horizontal="center" vertical="center" wrapText="1"/>
    </xf>
    <xf numFmtId="0" fontId="6" fillId="3" borderId="15" xfId="0" quotePrefix="1" applyFont="1" applyFill="1" applyBorder="1" applyAlignment="1">
      <alignment horizontal="center" vertical="center"/>
    </xf>
    <xf numFmtId="0" fontId="6" fillId="3" borderId="5" xfId="0" quotePrefix="1" applyFont="1" applyFill="1" applyBorder="1" applyAlignment="1">
      <alignment horizontal="center" vertical="center"/>
    </xf>
    <xf numFmtId="0" fontId="6" fillId="3" borderId="3" xfId="0" quotePrefix="1" applyFont="1" applyFill="1" applyBorder="1" applyAlignment="1">
      <alignment horizontal="center" vertical="center"/>
    </xf>
    <xf numFmtId="0" fontId="16" fillId="0" borderId="0" xfId="0" applyFont="1" applyAlignment="1">
      <alignment horizontal="center" textRotation="90"/>
    </xf>
    <xf numFmtId="0" fontId="15" fillId="0" borderId="19" xfId="2" applyFont="1" applyBorder="1" applyAlignment="1">
      <alignment horizontal="left"/>
    </xf>
    <xf numFmtId="10" fontId="15" fillId="4" borderId="19" xfId="2" applyNumberFormat="1" applyFont="1" applyFill="1" applyBorder="1" applyAlignment="1" applyProtection="1">
      <alignment horizontal="center"/>
      <protection locked="0"/>
    </xf>
    <xf numFmtId="0" fontId="13" fillId="7" borderId="19" xfId="2" applyFont="1" applyFill="1" applyBorder="1" applyAlignment="1">
      <alignment horizontal="center"/>
    </xf>
    <xf numFmtId="0" fontId="15" fillId="0" borderId="19" xfId="2" applyFont="1" applyBorder="1" applyAlignment="1">
      <alignment horizontal="left" wrapText="1"/>
    </xf>
    <xf numFmtId="0" fontId="0" fillId="0" borderId="22" xfId="2" applyFont="1" applyBorder="1" applyAlignment="1">
      <alignment horizontal="left" vertical="center"/>
    </xf>
    <xf numFmtId="0" fontId="3" fillId="0" borderId="0" xfId="2" applyFont="1" applyAlignment="1">
      <alignment horizontal="left" vertical="center"/>
    </xf>
    <xf numFmtId="0" fontId="18" fillId="0" borderId="0" xfId="2" applyFont="1" applyAlignment="1">
      <alignment horizontal="left" vertical="center"/>
    </xf>
    <xf numFmtId="0" fontId="15" fillId="0" borderId="19" xfId="2" applyFont="1" applyBorder="1" applyAlignment="1">
      <alignment horizontal="left" vertical="center" wrapText="1"/>
    </xf>
    <xf numFmtId="0" fontId="20" fillId="0" borderId="0" xfId="2" applyFont="1" applyAlignment="1">
      <alignment horizontal="left" vertical="center" indent="1"/>
    </xf>
    <xf numFmtId="0" fontId="0" fillId="0" borderId="0" xfId="2" applyFont="1" applyAlignment="1">
      <alignment horizontal="center" vertical="center"/>
    </xf>
    <xf numFmtId="0" fontId="33" fillId="0" borderId="0" xfId="0" applyFont="1" applyAlignment="1">
      <alignment horizontal="right" vertical="center"/>
    </xf>
    <xf numFmtId="0" fontId="34" fillId="0" borderId="0" xfId="0" applyFont="1" applyAlignment="1">
      <alignment horizontal="center"/>
    </xf>
    <xf numFmtId="0" fontId="0" fillId="0" borderId="19" xfId="2" applyFont="1" applyBorder="1" applyAlignment="1">
      <alignment horizontal="center" vertical="center" wrapText="1"/>
    </xf>
    <xf numFmtId="0" fontId="19" fillId="5" borderId="19" xfId="2" applyFont="1" applyFill="1" applyBorder="1" applyAlignment="1">
      <alignment horizontal="center" vertical="center" wrapText="1"/>
    </xf>
    <xf numFmtId="0" fontId="3" fillId="0" borderId="0" xfId="11" applyFont="1" applyBorder="1" applyAlignment="1">
      <alignment horizontal="left" vertical="top"/>
    </xf>
    <xf numFmtId="0" fontId="15" fillId="0" borderId="0" xfId="12" applyNumberFormat="1" applyFont="1" applyFill="1" applyBorder="1" applyAlignment="1" applyProtection="1">
      <alignment horizontal="left" wrapText="1"/>
    </xf>
    <xf numFmtId="0" fontId="33" fillId="0" borderId="0" xfId="0" applyFont="1" applyAlignment="1">
      <alignment horizontal="left" vertical="center"/>
    </xf>
    <xf numFmtId="0" fontId="0" fillId="0" borderId="20" xfId="0" applyBorder="1" applyAlignment="1">
      <alignment horizontal="center"/>
    </xf>
    <xf numFmtId="0" fontId="3" fillId="0" borderId="21" xfId="0" applyFont="1" applyBorder="1" applyAlignment="1">
      <alignment horizontal="center"/>
    </xf>
    <xf numFmtId="0" fontId="3" fillId="0" borderId="20" xfId="11" applyFont="1" applyBorder="1" applyAlignment="1">
      <alignment horizontal="left" vertical="top"/>
    </xf>
    <xf numFmtId="0" fontId="0" fillId="0" borderId="20" xfId="2" applyFont="1" applyBorder="1" applyAlignment="1">
      <alignment horizontal="left" vertical="top" wrapText="1"/>
    </xf>
    <xf numFmtId="4" fontId="18" fillId="0" borderId="19" xfId="2" applyNumberFormat="1" applyFont="1" applyBorder="1" applyAlignment="1">
      <alignment horizontal="center" vertical="center" wrapText="1"/>
    </xf>
    <xf numFmtId="0" fontId="9" fillId="7" borderId="0" xfId="2" applyFont="1" applyFill="1" applyBorder="1" applyAlignment="1">
      <alignment horizontal="center" vertical="center" wrapText="1"/>
    </xf>
    <xf numFmtId="0" fontId="3" fillId="0" borderId="19" xfId="2" applyFont="1" applyBorder="1" applyAlignment="1">
      <alignment horizontal="center" vertical="center"/>
    </xf>
    <xf numFmtId="4" fontId="18" fillId="0" borderId="19" xfId="2" applyNumberFormat="1" applyFont="1" applyBorder="1" applyAlignment="1">
      <alignment horizontal="center" vertical="center"/>
    </xf>
    <xf numFmtId="166" fontId="15" fillId="8" borderId="21" xfId="12" applyFont="1" applyFill="1" applyBorder="1" applyAlignment="1" applyProtection="1">
      <alignment horizontal="left"/>
      <protection locked="0"/>
    </xf>
    <xf numFmtId="0" fontId="18" fillId="0" borderId="19" xfId="2" applyFont="1" applyBorder="1" applyAlignment="1">
      <alignment horizontal="center" vertical="center"/>
    </xf>
    <xf numFmtId="0" fontId="33" fillId="0" borderId="0" xfId="0" applyFont="1" applyAlignment="1">
      <alignment horizontal="center" vertical="top"/>
    </xf>
    <xf numFmtId="49" fontId="0" fillId="4" borderId="19" xfId="2" applyNumberFormat="1" applyFont="1" applyFill="1" applyBorder="1" applyAlignment="1" applyProtection="1">
      <alignment horizontal="left" vertical="top" wrapText="1"/>
      <protection locked="0"/>
    </xf>
    <xf numFmtId="167" fontId="0" fillId="0" borderId="16" xfId="2" applyNumberFormat="1" applyFont="1" applyBorder="1" applyAlignment="1">
      <alignment horizontal="left"/>
    </xf>
    <xf numFmtId="168" fontId="0" fillId="0" borderId="16" xfId="2" applyNumberFormat="1" applyFont="1" applyBorder="1" applyAlignment="1">
      <alignment horizontal="left"/>
    </xf>
    <xf numFmtId="0" fontId="13" fillId="0" borderId="19" xfId="2" applyFont="1" applyBorder="1" applyAlignment="1">
      <alignment horizontal="center"/>
    </xf>
    <xf numFmtId="0" fontId="39" fillId="6" borderId="28"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36"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10" borderId="27" xfId="0" applyFont="1" applyFill="1" applyBorder="1" applyAlignment="1">
      <alignment horizontal="center" vertical="center" wrapText="1"/>
    </xf>
    <xf numFmtId="0" fontId="40" fillId="10" borderId="34" xfId="0" applyFont="1" applyFill="1" applyBorder="1" applyAlignment="1">
      <alignment horizontal="center" vertical="center" wrapText="1"/>
    </xf>
    <xf numFmtId="0" fontId="40" fillId="10" borderId="35" xfId="0" applyFont="1" applyFill="1" applyBorder="1" applyAlignment="1">
      <alignment horizontal="center" vertical="center" wrapText="1"/>
    </xf>
    <xf numFmtId="0" fontId="40" fillId="10" borderId="31" xfId="0" applyFont="1" applyFill="1" applyBorder="1" applyAlignment="1">
      <alignment horizontal="center" vertical="center" wrapText="1"/>
    </xf>
    <xf numFmtId="0" fontId="40" fillId="10" borderId="32"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36" fillId="3" borderId="15"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0" fillId="7" borderId="0" xfId="0" applyFont="1" applyFill="1" applyAlignment="1">
      <alignment horizontal="center"/>
    </xf>
    <xf numFmtId="0" fontId="0" fillId="0" borderId="0" xfId="0" applyAlignment="1">
      <alignment horizontal="left" vertical="center" wrapText="1"/>
    </xf>
    <xf numFmtId="0" fontId="46" fillId="0" borderId="63"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64" xfId="0" applyFont="1" applyBorder="1" applyAlignment="1">
      <alignment horizontal="center" vertical="center" wrapText="1"/>
    </xf>
    <xf numFmtId="0" fontId="9" fillId="7" borderId="67" xfId="2" applyFont="1" applyFill="1" applyBorder="1" applyAlignment="1">
      <alignment horizontal="center" vertical="center" wrapText="1"/>
    </xf>
    <xf numFmtId="0" fontId="40" fillId="10" borderId="4" xfId="0" applyFont="1" applyFill="1" applyBorder="1" applyAlignment="1">
      <alignment horizontal="right" vertical="center" wrapText="1"/>
    </xf>
    <xf numFmtId="0" fontId="40" fillId="6" borderId="4" xfId="0" applyFont="1" applyFill="1" applyBorder="1" applyAlignment="1">
      <alignment horizontal="right" vertical="center" wrapText="1"/>
    </xf>
    <xf numFmtId="0" fontId="22" fillId="3" borderId="4" xfId="0" applyFont="1" applyFill="1" applyBorder="1" applyAlignment="1">
      <alignment horizontal="center" vertical="center"/>
    </xf>
    <xf numFmtId="0" fontId="24" fillId="0" borderId="7" xfId="0" applyFont="1" applyBorder="1" applyAlignment="1">
      <alignment horizontal="left" vertical="center" wrapText="1"/>
    </xf>
    <xf numFmtId="0" fontId="24" fillId="0" borderId="54" xfId="0" applyFont="1" applyBorder="1" applyAlignment="1">
      <alignment horizontal="left" vertical="center" wrapText="1"/>
    </xf>
    <xf numFmtId="0" fontId="54" fillId="0" borderId="0" xfId="0" applyFont="1" applyAlignment="1">
      <alignment horizontal="left" vertical="center" wrapText="1"/>
    </xf>
    <xf numFmtId="0" fontId="24" fillId="0" borderId="12" xfId="0" applyFont="1" applyBorder="1" applyAlignment="1">
      <alignment horizontal="left" vertical="center" wrapText="1"/>
    </xf>
    <xf numFmtId="0" fontId="28" fillId="7" borderId="17" xfId="2" applyFont="1" applyFill="1" applyBorder="1" applyAlignment="1">
      <alignment horizontal="center" vertical="center" wrapText="1"/>
    </xf>
    <xf numFmtId="10" fontId="3" fillId="0" borderId="0" xfId="10" applyNumberFormat="1" applyFont="1" applyFill="1" applyBorder="1" applyAlignment="1">
      <alignment horizontal="center" vertical="center" wrapText="1"/>
    </xf>
    <xf numFmtId="0" fontId="2" fillId="10" borderId="0" xfId="0" applyFont="1" applyFill="1" applyAlignment="1">
      <alignment horizontal="center" vertical="top" wrapText="1"/>
    </xf>
    <xf numFmtId="0" fontId="9" fillId="7" borderId="0" xfId="2" applyFont="1" applyFill="1" applyAlignment="1">
      <alignment horizontal="center" vertical="center"/>
    </xf>
  </cellXfs>
  <cellStyles count="13">
    <cellStyle name="Excel Built-in Normal" xfId="4"/>
    <cellStyle name="Moeda" xfId="9" builtinId="4"/>
    <cellStyle name="Moeda_Composicao BDI v2.1" xfId="12"/>
    <cellStyle name="Normal" xfId="0" builtinId="0"/>
    <cellStyle name="Normal 2" xfId="2"/>
    <cellStyle name="Normal_FICHA DE VERIFICAÇÃO PRELIMINAR - Plano R" xfId="11"/>
    <cellStyle name="Porcentagem" xfId="10" builtinId="5"/>
    <cellStyle name="Separador de milhares" xfId="1" builtinId="3"/>
    <cellStyle name="Vírgula 2" xfId="5"/>
    <cellStyle name="Vírgula 3 2" xfId="8"/>
    <cellStyle name="Vírgula 4" xfId="7"/>
    <cellStyle name="Vírgula 5" xfId="3"/>
    <cellStyle name="Vírgula 5 2" xfId="6"/>
  </cellStyles>
  <dxfs count="7">
    <dxf>
      <font>
        <b/>
        <i val="0"/>
        <condense val="0"/>
        <extend val="0"/>
      </font>
    </dxf>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color indexed="9"/>
      </font>
      <fill>
        <patternFill patternType="none">
          <fgColor indexed="64"/>
          <bgColor indexed="65"/>
        </patternFill>
      </fill>
      <border>
        <left/>
        <right/>
        <top style="thin">
          <color indexed="64"/>
        </top>
        <bottom/>
      </border>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OR&#199;AMENTO!M13"/><Relationship Id="rId1" Type="http://schemas.openxmlformats.org/officeDocument/2006/relationships/hyperlink" Target="#Menu!E6"/><Relationship Id="rId5" Type="http://schemas.openxmlformats.org/officeDocument/2006/relationships/hyperlink" Target="#OR&#199;AMENTO!M13"/><Relationship Id="rId4" Type="http://schemas.openxmlformats.org/officeDocument/2006/relationships/hyperlink" Target="#Menu!E6"/></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279400</xdr:colOff>
      <xdr:row>13</xdr:row>
      <xdr:rowOff>0</xdr:rowOff>
    </xdr:from>
    <xdr:to>
      <xdr:col>8</xdr:col>
      <xdr:colOff>131234</xdr:colOff>
      <xdr:row>14</xdr:row>
      <xdr:rowOff>8466</xdr:rowOff>
    </xdr:to>
    <xdr:sp macro="" textlink="" fLocksText="0">
      <xdr:nvSpPr>
        <xdr:cNvPr id="3" name="AutoShape 67">
          <a:hlinkClick xmlns:r="http://schemas.openxmlformats.org/officeDocument/2006/relationships" r:id="rId1"/>
          <a:extLst>
            <a:ext uri="{FF2B5EF4-FFF2-40B4-BE49-F238E27FC236}">
              <a16:creationId xmlns:a16="http://schemas.microsoft.com/office/drawing/2014/main" xmlns="" id="{91B821E5-4E4B-4002-885C-F6BE79B14F50}"/>
            </a:ext>
          </a:extLst>
        </xdr:cNvPr>
        <xdr:cNvSpPr>
          <a:spLocks noChangeArrowheads="1"/>
        </xdr:cNvSpPr>
      </xdr:nvSpPr>
      <xdr:spPr bwMode="auto">
        <a:xfrm>
          <a:off x="279400" y="223308"/>
          <a:ext cx="566209" cy="309033"/>
        </a:xfrm>
        <a:prstGeom prst="roundRect">
          <a:avLst>
            <a:gd name="adj" fmla="val 16667"/>
          </a:avLst>
        </a:prstGeom>
        <a:solidFill>
          <a:srgbClr val="99CCFF"/>
        </a:solidFill>
        <a:ln w="9360">
          <a:solidFill>
            <a:srgbClr val="80808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7</xdr:col>
      <xdr:colOff>279399</xdr:colOff>
      <xdr:row>14</xdr:row>
      <xdr:rowOff>57150</xdr:rowOff>
    </xdr:from>
    <xdr:to>
      <xdr:col>8</xdr:col>
      <xdr:colOff>131233</xdr:colOff>
      <xdr:row>16</xdr:row>
      <xdr:rowOff>42333</xdr:rowOff>
    </xdr:to>
    <xdr:sp macro="" textlink="" fLocksText="0">
      <xdr:nvSpPr>
        <xdr:cNvPr id="4" name="AutoShape 67">
          <a:hlinkClick xmlns:r="http://schemas.openxmlformats.org/officeDocument/2006/relationships" r:id="rId2"/>
          <a:extLst>
            <a:ext uri="{FF2B5EF4-FFF2-40B4-BE49-F238E27FC236}">
              <a16:creationId xmlns:a16="http://schemas.microsoft.com/office/drawing/2014/main" xmlns="" id="{2BEB2A24-4C67-466E-8B76-36442B449074}"/>
            </a:ext>
          </a:extLst>
        </xdr:cNvPr>
        <xdr:cNvSpPr>
          <a:spLocks noChangeArrowheads="1"/>
        </xdr:cNvSpPr>
      </xdr:nvSpPr>
      <xdr:spPr bwMode="auto">
        <a:xfrm>
          <a:off x="279399" y="581025"/>
          <a:ext cx="566209" cy="309033"/>
        </a:xfrm>
        <a:prstGeom prst="roundRect">
          <a:avLst>
            <a:gd name="adj" fmla="val 16667"/>
          </a:avLst>
        </a:prstGeom>
        <a:solidFill>
          <a:srgbClr val="99CCFF"/>
        </a:solidFill>
        <a:ln w="9360">
          <a:solidFill>
            <a:srgbClr val="808080"/>
          </a:solidFill>
          <a:miter lim="800000"/>
          <a:headEnd/>
          <a:tailEn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twoCellAnchor>
    <xdr:from>
      <xdr:col>9</xdr:col>
      <xdr:colOff>30480</xdr:colOff>
      <xdr:row>0</xdr:row>
      <xdr:rowOff>15240</xdr:rowOff>
    </xdr:from>
    <xdr:to>
      <xdr:col>11</xdr:col>
      <xdr:colOff>403860</xdr:colOff>
      <xdr:row>2</xdr:row>
      <xdr:rowOff>38100</xdr:rowOff>
    </xdr:to>
    <xdr:pic>
      <xdr:nvPicPr>
        <xdr:cNvPr id="5" name="Logo1">
          <a:extLst>
            <a:ext uri="{FF2B5EF4-FFF2-40B4-BE49-F238E27FC236}">
              <a16:creationId xmlns:a16="http://schemas.microsoft.com/office/drawing/2014/main" xmlns="" id="{223D2ECD-522D-4A69-8EAA-3088CEC162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013460" y="15240"/>
          <a:ext cx="1836420" cy="38862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7</xdr:col>
      <xdr:colOff>287020</xdr:colOff>
      <xdr:row>1</xdr:row>
      <xdr:rowOff>30903</xdr:rowOff>
    </xdr:from>
    <xdr:to>
      <xdr:col>8</xdr:col>
      <xdr:colOff>138854</xdr:colOff>
      <xdr:row>3</xdr:row>
      <xdr:rowOff>8555</xdr:rowOff>
    </xdr:to>
    <xdr:sp macro="" textlink="" fLocksText="0">
      <xdr:nvSpPr>
        <xdr:cNvPr id="6" name="AutoShape 67">
          <a:hlinkClick xmlns:r="http://schemas.openxmlformats.org/officeDocument/2006/relationships" r:id="rId4"/>
          <a:extLst>
            <a:ext uri="{FF2B5EF4-FFF2-40B4-BE49-F238E27FC236}">
              <a16:creationId xmlns:a16="http://schemas.microsoft.com/office/drawing/2014/main" xmlns="" id="{26FC2BD6-3E9E-4B10-9BDD-4F1F4D605A7F}"/>
            </a:ext>
          </a:extLst>
        </xdr:cNvPr>
        <xdr:cNvSpPr>
          <a:spLocks noChangeArrowheads="1"/>
        </xdr:cNvSpPr>
      </xdr:nvSpPr>
      <xdr:spPr bwMode="auto">
        <a:xfrm>
          <a:off x="287020" y="229023"/>
          <a:ext cx="583354" cy="312932"/>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7</xdr:col>
      <xdr:colOff>287019</xdr:colOff>
      <xdr:row>3</xdr:row>
      <xdr:rowOff>57150</xdr:rowOff>
    </xdr:from>
    <xdr:to>
      <xdr:col>8</xdr:col>
      <xdr:colOff>138853</xdr:colOff>
      <xdr:row>12</xdr:row>
      <xdr:rowOff>42333</xdr:rowOff>
    </xdr:to>
    <xdr:sp macro="" textlink="" fLocksText="0">
      <xdr:nvSpPr>
        <xdr:cNvPr id="7" name="AutoShape 67">
          <a:hlinkClick xmlns:r="http://schemas.openxmlformats.org/officeDocument/2006/relationships" r:id="rId5"/>
          <a:extLst>
            <a:ext uri="{FF2B5EF4-FFF2-40B4-BE49-F238E27FC236}">
              <a16:creationId xmlns:a16="http://schemas.microsoft.com/office/drawing/2014/main" xmlns="" id="{D64B9A42-58E2-46EF-9015-78936642D1A6}"/>
            </a:ext>
          </a:extLst>
        </xdr:cNvPr>
        <xdr:cNvSpPr>
          <a:spLocks noChangeArrowheads="1"/>
        </xdr:cNvSpPr>
      </xdr:nvSpPr>
      <xdr:spPr bwMode="auto">
        <a:xfrm>
          <a:off x="287019" y="590550"/>
          <a:ext cx="583354" cy="31284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10</xdr:col>
      <xdr:colOff>557389</xdr:colOff>
      <xdr:row>52</xdr:row>
      <xdr:rowOff>19050</xdr:rowOff>
    </xdr:to>
    <xdr:pic>
      <xdr:nvPicPr>
        <xdr:cNvPr id="4" name="Imagem 3">
          <a:extLst>
            <a:ext uri="{FF2B5EF4-FFF2-40B4-BE49-F238E27FC236}">
              <a16:creationId xmlns:a16="http://schemas.microsoft.com/office/drawing/2014/main" xmlns="" id="{EB790529-1C90-2F28-F374-E3C2C9CA4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1019175"/>
          <a:ext cx="6653389" cy="8953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266701</xdr:colOff>
      <xdr:row>11</xdr:row>
      <xdr:rowOff>133351</xdr:rowOff>
    </xdr:from>
    <xdr:to>
      <xdr:col>8</xdr:col>
      <xdr:colOff>95251</xdr:colOff>
      <xdr:row>50</xdr:row>
      <xdr:rowOff>19051</xdr:rowOff>
    </xdr:to>
    <xdr:sp macro="" textlink="">
      <xdr:nvSpPr>
        <xdr:cNvPr id="3" name="Retângulo 2">
          <a:extLst>
            <a:ext uri="{FF2B5EF4-FFF2-40B4-BE49-F238E27FC236}">
              <a16:creationId xmlns:a16="http://schemas.microsoft.com/office/drawing/2014/main" xmlns="" id="{99401FA9-3C10-4CFD-8AF6-B60C48B74239}"/>
            </a:ext>
          </a:extLst>
        </xdr:cNvPr>
        <xdr:cNvSpPr/>
      </xdr:nvSpPr>
      <xdr:spPr>
        <a:xfrm>
          <a:off x="3314701" y="2276476"/>
          <a:ext cx="1657350" cy="73152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eildo%20JR/Desktop/PREFEITURA%20%20STA%20CRUZ/PLANILHA_MULTIPLA_V3_05/PLANILHA_MULTIPLA_V3_05/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Luiz%20Augusto\TORITAMA\SINAPI%20-%202018\PLANILHA_MULTIPLA_V3_02\PLANILHA%20M&#218;LTIPLA%20V3.0.2_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IVERSOS\2019\TORITAMA\SEC%20EDUCA&#199;&#195;O\PLANILHA%20M&#218;LTIPLA%20V3.0.2_02-2018%20AR%20CONDICIONA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18">
          <cell r="F18" t="str">
            <v>DESONERADO</v>
          </cell>
        </row>
        <row r="25">
          <cell r="F25">
            <v>44392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5">
          <cell r="F5" t="str">
            <v>PREFEITURA MUNICIPAL DE TORITAMA</v>
          </cell>
        </row>
        <row r="6">
          <cell r="F6" t="str">
            <v>TORITAMA/PERNAMBUCO</v>
          </cell>
        </row>
        <row r="16">
          <cell r="F16" t="str">
            <v>CONSTRUÇÃO DE UMA ESCOLA COM 10 SALAS - SISTEMA CONSTRUTIVO CONTINUO</v>
          </cell>
        </row>
        <row r="17">
          <cell r="F17" t="str">
            <v>CONSTRUÇÃO DE UMA ESCOLA COM 10 SALAS</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5">
          <cell r="F5" t="str">
            <v>PREFEITURA MUNICIPAL DE TORITAMA</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O950"/>
  <sheetViews>
    <sheetView topLeftCell="A916" zoomScale="110" zoomScaleNormal="110" workbookViewId="0">
      <selection activeCell="A938" sqref="A938"/>
    </sheetView>
  </sheetViews>
  <sheetFormatPr defaultRowHeight="11.25"/>
  <cols>
    <col min="1" max="1" width="6.28515625" style="23" customWidth="1"/>
    <col min="2" max="2" width="9.85546875" style="23" customWidth="1"/>
    <col min="3" max="3" width="12.42578125" style="23" customWidth="1"/>
    <col min="4" max="4" width="49.42578125" style="24" customWidth="1"/>
    <col min="5" max="5" width="9.140625" style="7"/>
    <col min="6" max="6" width="8.7109375" style="7" customWidth="1"/>
    <col min="7" max="7" width="9" style="7" bestFit="1" customWidth="1"/>
    <col min="8" max="8" width="6.5703125" style="7" customWidth="1"/>
    <col min="9" max="9" width="7.140625" style="7" customWidth="1"/>
    <col min="10" max="10" width="6" style="7" customWidth="1"/>
    <col min="11" max="11" width="11" style="7" customWidth="1"/>
    <col min="12" max="12" width="9.7109375" style="7" customWidth="1"/>
    <col min="13" max="243" width="9.140625" style="7"/>
    <col min="244" max="244" width="4.42578125" style="7" customWidth="1"/>
    <col min="245" max="245" width="6.28515625" style="7" customWidth="1"/>
    <col min="246" max="246" width="12.42578125" style="7" customWidth="1"/>
    <col min="247" max="247" width="10.7109375" style="7" customWidth="1"/>
    <col min="248" max="248" width="72.7109375" style="7" customWidth="1"/>
    <col min="249" max="249" width="6.7109375" style="7" customWidth="1"/>
    <col min="250" max="250" width="12.140625" style="7" customWidth="1"/>
    <col min="251" max="251" width="13.42578125" style="7" customWidth="1"/>
    <col min="252" max="252" width="14.5703125" style="7" customWidth="1"/>
    <col min="253" max="254" width="9.140625" style="7"/>
    <col min="255" max="255" width="13.140625" style="7" bestFit="1" customWidth="1"/>
    <col min="256" max="499" width="9.140625" style="7"/>
    <col min="500" max="500" width="4.42578125" style="7" customWidth="1"/>
    <col min="501" max="501" width="6.28515625" style="7" customWidth="1"/>
    <col min="502" max="502" width="12.42578125" style="7" customWidth="1"/>
    <col min="503" max="503" width="10.7109375" style="7" customWidth="1"/>
    <col min="504" max="504" width="72.7109375" style="7" customWidth="1"/>
    <col min="505" max="505" width="6.7109375" style="7" customWidth="1"/>
    <col min="506" max="506" width="12.140625" style="7" customWidth="1"/>
    <col min="507" max="507" width="13.42578125" style="7" customWidth="1"/>
    <col min="508" max="508" width="14.5703125" style="7" customWidth="1"/>
    <col min="509" max="510" width="9.140625" style="7"/>
    <col min="511" max="511" width="13.140625" style="7" bestFit="1" customWidth="1"/>
    <col min="512" max="755" width="9.140625" style="7"/>
    <col min="756" max="756" width="4.42578125" style="7" customWidth="1"/>
    <col min="757" max="757" width="6.28515625" style="7" customWidth="1"/>
    <col min="758" max="758" width="12.42578125" style="7" customWidth="1"/>
    <col min="759" max="759" width="10.7109375" style="7" customWidth="1"/>
    <col min="760" max="760" width="72.7109375" style="7" customWidth="1"/>
    <col min="761" max="761" width="6.7109375" style="7" customWidth="1"/>
    <col min="762" max="762" width="12.140625" style="7" customWidth="1"/>
    <col min="763" max="763" width="13.42578125" style="7" customWidth="1"/>
    <col min="764" max="764" width="14.5703125" style="7" customWidth="1"/>
    <col min="765" max="766" width="9.140625" style="7"/>
    <col min="767" max="767" width="13.140625" style="7" bestFit="1" customWidth="1"/>
    <col min="768" max="1011" width="9.140625" style="7"/>
    <col min="1012" max="1012" width="4.42578125" style="7" customWidth="1"/>
    <col min="1013" max="1013" width="6.28515625" style="7" customWidth="1"/>
    <col min="1014" max="1014" width="12.42578125" style="7" customWidth="1"/>
    <col min="1015" max="1015" width="10.7109375" style="7" customWidth="1"/>
    <col min="1016" max="1016" width="72.7109375" style="7" customWidth="1"/>
    <col min="1017" max="1017" width="6.7109375" style="7" customWidth="1"/>
    <col min="1018" max="1018" width="12.140625" style="7" customWidth="1"/>
    <col min="1019" max="1019" width="13.42578125" style="7" customWidth="1"/>
    <col min="1020" max="1020" width="14.5703125" style="7" customWidth="1"/>
    <col min="1021" max="1022" width="9.140625" style="7"/>
    <col min="1023" max="1023" width="13.140625" style="7" bestFit="1" customWidth="1"/>
    <col min="1024" max="1267" width="9.140625" style="7"/>
    <col min="1268" max="1268" width="4.42578125" style="7" customWidth="1"/>
    <col min="1269" max="1269" width="6.28515625" style="7" customWidth="1"/>
    <col min="1270" max="1270" width="12.42578125" style="7" customWidth="1"/>
    <col min="1271" max="1271" width="10.7109375" style="7" customWidth="1"/>
    <col min="1272" max="1272" width="72.7109375" style="7" customWidth="1"/>
    <col min="1273" max="1273" width="6.7109375" style="7" customWidth="1"/>
    <col min="1274" max="1274" width="12.140625" style="7" customWidth="1"/>
    <col min="1275" max="1275" width="13.42578125" style="7" customWidth="1"/>
    <col min="1276" max="1276" width="14.5703125" style="7" customWidth="1"/>
    <col min="1277" max="1278" width="9.140625" style="7"/>
    <col min="1279" max="1279" width="13.140625" style="7" bestFit="1" customWidth="1"/>
    <col min="1280" max="1523" width="9.140625" style="7"/>
    <col min="1524" max="1524" width="4.42578125" style="7" customWidth="1"/>
    <col min="1525" max="1525" width="6.28515625" style="7" customWidth="1"/>
    <col min="1526" max="1526" width="12.42578125" style="7" customWidth="1"/>
    <col min="1527" max="1527" width="10.7109375" style="7" customWidth="1"/>
    <col min="1528" max="1528" width="72.7109375" style="7" customWidth="1"/>
    <col min="1529" max="1529" width="6.7109375" style="7" customWidth="1"/>
    <col min="1530" max="1530" width="12.140625" style="7" customWidth="1"/>
    <col min="1531" max="1531" width="13.42578125" style="7" customWidth="1"/>
    <col min="1532" max="1532" width="14.5703125" style="7" customWidth="1"/>
    <col min="1533" max="1534" width="9.140625" style="7"/>
    <col min="1535" max="1535" width="13.140625" style="7" bestFit="1" customWidth="1"/>
    <col min="1536" max="1779" width="9.140625" style="7"/>
    <col min="1780" max="1780" width="4.42578125" style="7" customWidth="1"/>
    <col min="1781" max="1781" width="6.28515625" style="7" customWidth="1"/>
    <col min="1782" max="1782" width="12.42578125" style="7" customWidth="1"/>
    <col min="1783" max="1783" width="10.7109375" style="7" customWidth="1"/>
    <col min="1784" max="1784" width="72.7109375" style="7" customWidth="1"/>
    <col min="1785" max="1785" width="6.7109375" style="7" customWidth="1"/>
    <col min="1786" max="1786" width="12.140625" style="7" customWidth="1"/>
    <col min="1787" max="1787" width="13.42578125" style="7" customWidth="1"/>
    <col min="1788" max="1788" width="14.5703125" style="7" customWidth="1"/>
    <col min="1789" max="1790" width="9.140625" style="7"/>
    <col min="1791" max="1791" width="13.140625" style="7" bestFit="1" customWidth="1"/>
    <col min="1792" max="2035" width="9.140625" style="7"/>
    <col min="2036" max="2036" width="4.42578125" style="7" customWidth="1"/>
    <col min="2037" max="2037" width="6.28515625" style="7" customWidth="1"/>
    <col min="2038" max="2038" width="12.42578125" style="7" customWidth="1"/>
    <col min="2039" max="2039" width="10.7109375" style="7" customWidth="1"/>
    <col min="2040" max="2040" width="72.7109375" style="7" customWidth="1"/>
    <col min="2041" max="2041" width="6.7109375" style="7" customWidth="1"/>
    <col min="2042" max="2042" width="12.140625" style="7" customWidth="1"/>
    <col min="2043" max="2043" width="13.42578125" style="7" customWidth="1"/>
    <col min="2044" max="2044" width="14.5703125" style="7" customWidth="1"/>
    <col min="2045" max="2046" width="9.140625" style="7"/>
    <col min="2047" max="2047" width="13.140625" style="7" bestFit="1" customWidth="1"/>
    <col min="2048" max="2291" width="9.140625" style="7"/>
    <col min="2292" max="2292" width="4.42578125" style="7" customWidth="1"/>
    <col min="2293" max="2293" width="6.28515625" style="7" customWidth="1"/>
    <col min="2294" max="2294" width="12.42578125" style="7" customWidth="1"/>
    <col min="2295" max="2295" width="10.7109375" style="7" customWidth="1"/>
    <col min="2296" max="2296" width="72.7109375" style="7" customWidth="1"/>
    <col min="2297" max="2297" width="6.7109375" style="7" customWidth="1"/>
    <col min="2298" max="2298" width="12.140625" style="7" customWidth="1"/>
    <col min="2299" max="2299" width="13.42578125" style="7" customWidth="1"/>
    <col min="2300" max="2300" width="14.5703125" style="7" customWidth="1"/>
    <col min="2301" max="2302" width="9.140625" style="7"/>
    <col min="2303" max="2303" width="13.140625" style="7" bestFit="1" customWidth="1"/>
    <col min="2304" max="2547" width="9.140625" style="7"/>
    <col min="2548" max="2548" width="4.42578125" style="7" customWidth="1"/>
    <col min="2549" max="2549" width="6.28515625" style="7" customWidth="1"/>
    <col min="2550" max="2550" width="12.42578125" style="7" customWidth="1"/>
    <col min="2551" max="2551" width="10.7109375" style="7" customWidth="1"/>
    <col min="2552" max="2552" width="72.7109375" style="7" customWidth="1"/>
    <col min="2553" max="2553" width="6.7109375" style="7" customWidth="1"/>
    <col min="2554" max="2554" width="12.140625" style="7" customWidth="1"/>
    <col min="2555" max="2555" width="13.42578125" style="7" customWidth="1"/>
    <col min="2556" max="2556" width="14.5703125" style="7" customWidth="1"/>
    <col min="2557" max="2558" width="9.140625" style="7"/>
    <col min="2559" max="2559" width="13.140625" style="7" bestFit="1" customWidth="1"/>
    <col min="2560" max="2803" width="9.140625" style="7"/>
    <col min="2804" max="2804" width="4.42578125" style="7" customWidth="1"/>
    <col min="2805" max="2805" width="6.28515625" style="7" customWidth="1"/>
    <col min="2806" max="2806" width="12.42578125" style="7" customWidth="1"/>
    <col min="2807" max="2807" width="10.7109375" style="7" customWidth="1"/>
    <col min="2808" max="2808" width="72.7109375" style="7" customWidth="1"/>
    <col min="2809" max="2809" width="6.7109375" style="7" customWidth="1"/>
    <col min="2810" max="2810" width="12.140625" style="7" customWidth="1"/>
    <col min="2811" max="2811" width="13.42578125" style="7" customWidth="1"/>
    <col min="2812" max="2812" width="14.5703125" style="7" customWidth="1"/>
    <col min="2813" max="2814" width="9.140625" style="7"/>
    <col min="2815" max="2815" width="13.140625" style="7" bestFit="1" customWidth="1"/>
    <col min="2816" max="3059" width="9.140625" style="7"/>
    <col min="3060" max="3060" width="4.42578125" style="7" customWidth="1"/>
    <col min="3061" max="3061" width="6.28515625" style="7" customWidth="1"/>
    <col min="3062" max="3062" width="12.42578125" style="7" customWidth="1"/>
    <col min="3063" max="3063" width="10.7109375" style="7" customWidth="1"/>
    <col min="3064" max="3064" width="72.7109375" style="7" customWidth="1"/>
    <col min="3065" max="3065" width="6.7109375" style="7" customWidth="1"/>
    <col min="3066" max="3066" width="12.140625" style="7" customWidth="1"/>
    <col min="3067" max="3067" width="13.42578125" style="7" customWidth="1"/>
    <col min="3068" max="3068" width="14.5703125" style="7" customWidth="1"/>
    <col min="3069" max="3070" width="9.140625" style="7"/>
    <col min="3071" max="3071" width="13.140625" style="7" bestFit="1" customWidth="1"/>
    <col min="3072" max="3315" width="9.140625" style="7"/>
    <col min="3316" max="3316" width="4.42578125" style="7" customWidth="1"/>
    <col min="3317" max="3317" width="6.28515625" style="7" customWidth="1"/>
    <col min="3318" max="3318" width="12.42578125" style="7" customWidth="1"/>
    <col min="3319" max="3319" width="10.7109375" style="7" customWidth="1"/>
    <col min="3320" max="3320" width="72.7109375" style="7" customWidth="1"/>
    <col min="3321" max="3321" width="6.7109375" style="7" customWidth="1"/>
    <col min="3322" max="3322" width="12.140625" style="7" customWidth="1"/>
    <col min="3323" max="3323" width="13.42578125" style="7" customWidth="1"/>
    <col min="3324" max="3324" width="14.5703125" style="7" customWidth="1"/>
    <col min="3325" max="3326" width="9.140625" style="7"/>
    <col min="3327" max="3327" width="13.140625" style="7" bestFit="1" customWidth="1"/>
    <col min="3328" max="3571" width="9.140625" style="7"/>
    <col min="3572" max="3572" width="4.42578125" style="7" customWidth="1"/>
    <col min="3573" max="3573" width="6.28515625" style="7" customWidth="1"/>
    <col min="3574" max="3574" width="12.42578125" style="7" customWidth="1"/>
    <col min="3575" max="3575" width="10.7109375" style="7" customWidth="1"/>
    <col min="3576" max="3576" width="72.7109375" style="7" customWidth="1"/>
    <col min="3577" max="3577" width="6.7109375" style="7" customWidth="1"/>
    <col min="3578" max="3578" width="12.140625" style="7" customWidth="1"/>
    <col min="3579" max="3579" width="13.42578125" style="7" customWidth="1"/>
    <col min="3580" max="3580" width="14.5703125" style="7" customWidth="1"/>
    <col min="3581" max="3582" width="9.140625" style="7"/>
    <col min="3583" max="3583" width="13.140625" style="7" bestFit="1" customWidth="1"/>
    <col min="3584" max="3827" width="9.140625" style="7"/>
    <col min="3828" max="3828" width="4.42578125" style="7" customWidth="1"/>
    <col min="3829" max="3829" width="6.28515625" style="7" customWidth="1"/>
    <col min="3830" max="3830" width="12.42578125" style="7" customWidth="1"/>
    <col min="3831" max="3831" width="10.7109375" style="7" customWidth="1"/>
    <col min="3832" max="3832" width="72.7109375" style="7" customWidth="1"/>
    <col min="3833" max="3833" width="6.7109375" style="7" customWidth="1"/>
    <col min="3834" max="3834" width="12.140625" style="7" customWidth="1"/>
    <col min="3835" max="3835" width="13.42578125" style="7" customWidth="1"/>
    <col min="3836" max="3836" width="14.5703125" style="7" customWidth="1"/>
    <col min="3837" max="3838" width="9.140625" style="7"/>
    <col min="3839" max="3839" width="13.140625" style="7" bestFit="1" customWidth="1"/>
    <col min="3840" max="4083" width="9.140625" style="7"/>
    <col min="4084" max="4084" width="4.42578125" style="7" customWidth="1"/>
    <col min="4085" max="4085" width="6.28515625" style="7" customWidth="1"/>
    <col min="4086" max="4086" width="12.42578125" style="7" customWidth="1"/>
    <col min="4087" max="4087" width="10.7109375" style="7" customWidth="1"/>
    <col min="4088" max="4088" width="72.7109375" style="7" customWidth="1"/>
    <col min="4089" max="4089" width="6.7109375" style="7" customWidth="1"/>
    <col min="4090" max="4090" width="12.140625" style="7" customWidth="1"/>
    <col min="4091" max="4091" width="13.42578125" style="7" customWidth="1"/>
    <col min="4092" max="4092" width="14.5703125" style="7" customWidth="1"/>
    <col min="4093" max="4094" width="9.140625" style="7"/>
    <col min="4095" max="4095" width="13.140625" style="7" bestFit="1" customWidth="1"/>
    <col min="4096" max="4339" width="9.140625" style="7"/>
    <col min="4340" max="4340" width="4.42578125" style="7" customWidth="1"/>
    <col min="4341" max="4341" width="6.28515625" style="7" customWidth="1"/>
    <col min="4342" max="4342" width="12.42578125" style="7" customWidth="1"/>
    <col min="4343" max="4343" width="10.7109375" style="7" customWidth="1"/>
    <col min="4344" max="4344" width="72.7109375" style="7" customWidth="1"/>
    <col min="4345" max="4345" width="6.7109375" style="7" customWidth="1"/>
    <col min="4346" max="4346" width="12.140625" style="7" customWidth="1"/>
    <col min="4347" max="4347" width="13.42578125" style="7" customWidth="1"/>
    <col min="4348" max="4348" width="14.5703125" style="7" customWidth="1"/>
    <col min="4349" max="4350" width="9.140625" style="7"/>
    <col min="4351" max="4351" width="13.140625" style="7" bestFit="1" customWidth="1"/>
    <col min="4352" max="4595" width="9.140625" style="7"/>
    <col min="4596" max="4596" width="4.42578125" style="7" customWidth="1"/>
    <col min="4597" max="4597" width="6.28515625" style="7" customWidth="1"/>
    <col min="4598" max="4598" width="12.42578125" style="7" customWidth="1"/>
    <col min="4599" max="4599" width="10.7109375" style="7" customWidth="1"/>
    <col min="4600" max="4600" width="72.7109375" style="7" customWidth="1"/>
    <col min="4601" max="4601" width="6.7109375" style="7" customWidth="1"/>
    <col min="4602" max="4602" width="12.140625" style="7" customWidth="1"/>
    <col min="4603" max="4603" width="13.42578125" style="7" customWidth="1"/>
    <col min="4604" max="4604" width="14.5703125" style="7" customWidth="1"/>
    <col min="4605" max="4606" width="9.140625" style="7"/>
    <col min="4607" max="4607" width="13.140625" style="7" bestFit="1" customWidth="1"/>
    <col min="4608" max="4851" width="9.140625" style="7"/>
    <col min="4852" max="4852" width="4.42578125" style="7" customWidth="1"/>
    <col min="4853" max="4853" width="6.28515625" style="7" customWidth="1"/>
    <col min="4854" max="4854" width="12.42578125" style="7" customWidth="1"/>
    <col min="4855" max="4855" width="10.7109375" style="7" customWidth="1"/>
    <col min="4856" max="4856" width="72.7109375" style="7" customWidth="1"/>
    <col min="4857" max="4857" width="6.7109375" style="7" customWidth="1"/>
    <col min="4858" max="4858" width="12.140625" style="7" customWidth="1"/>
    <col min="4859" max="4859" width="13.42578125" style="7" customWidth="1"/>
    <col min="4860" max="4860" width="14.5703125" style="7" customWidth="1"/>
    <col min="4861" max="4862" width="9.140625" style="7"/>
    <col min="4863" max="4863" width="13.140625" style="7" bestFit="1" customWidth="1"/>
    <col min="4864" max="5107" width="9.140625" style="7"/>
    <col min="5108" max="5108" width="4.42578125" style="7" customWidth="1"/>
    <col min="5109" max="5109" width="6.28515625" style="7" customWidth="1"/>
    <col min="5110" max="5110" width="12.42578125" style="7" customWidth="1"/>
    <col min="5111" max="5111" width="10.7109375" style="7" customWidth="1"/>
    <col min="5112" max="5112" width="72.7109375" style="7" customWidth="1"/>
    <col min="5113" max="5113" width="6.7109375" style="7" customWidth="1"/>
    <col min="5114" max="5114" width="12.140625" style="7" customWidth="1"/>
    <col min="5115" max="5115" width="13.42578125" style="7" customWidth="1"/>
    <col min="5116" max="5116" width="14.5703125" style="7" customWidth="1"/>
    <col min="5117" max="5118" width="9.140625" style="7"/>
    <col min="5119" max="5119" width="13.140625" style="7" bestFit="1" customWidth="1"/>
    <col min="5120" max="5363" width="9.140625" style="7"/>
    <col min="5364" max="5364" width="4.42578125" style="7" customWidth="1"/>
    <col min="5365" max="5365" width="6.28515625" style="7" customWidth="1"/>
    <col min="5366" max="5366" width="12.42578125" style="7" customWidth="1"/>
    <col min="5367" max="5367" width="10.7109375" style="7" customWidth="1"/>
    <col min="5368" max="5368" width="72.7109375" style="7" customWidth="1"/>
    <col min="5369" max="5369" width="6.7109375" style="7" customWidth="1"/>
    <col min="5370" max="5370" width="12.140625" style="7" customWidth="1"/>
    <col min="5371" max="5371" width="13.42578125" style="7" customWidth="1"/>
    <col min="5372" max="5372" width="14.5703125" style="7" customWidth="1"/>
    <col min="5373" max="5374" width="9.140625" style="7"/>
    <col min="5375" max="5375" width="13.140625" style="7" bestFit="1" customWidth="1"/>
    <col min="5376" max="5619" width="9.140625" style="7"/>
    <col min="5620" max="5620" width="4.42578125" style="7" customWidth="1"/>
    <col min="5621" max="5621" width="6.28515625" style="7" customWidth="1"/>
    <col min="5622" max="5622" width="12.42578125" style="7" customWidth="1"/>
    <col min="5623" max="5623" width="10.7109375" style="7" customWidth="1"/>
    <col min="5624" max="5624" width="72.7109375" style="7" customWidth="1"/>
    <col min="5625" max="5625" width="6.7109375" style="7" customWidth="1"/>
    <col min="5626" max="5626" width="12.140625" style="7" customWidth="1"/>
    <col min="5627" max="5627" width="13.42578125" style="7" customWidth="1"/>
    <col min="5628" max="5628" width="14.5703125" style="7" customWidth="1"/>
    <col min="5629" max="5630" width="9.140625" style="7"/>
    <col min="5631" max="5631" width="13.140625" style="7" bestFit="1" customWidth="1"/>
    <col min="5632" max="5875" width="9.140625" style="7"/>
    <col min="5876" max="5876" width="4.42578125" style="7" customWidth="1"/>
    <col min="5877" max="5877" width="6.28515625" style="7" customWidth="1"/>
    <col min="5878" max="5878" width="12.42578125" style="7" customWidth="1"/>
    <col min="5879" max="5879" width="10.7109375" style="7" customWidth="1"/>
    <col min="5880" max="5880" width="72.7109375" style="7" customWidth="1"/>
    <col min="5881" max="5881" width="6.7109375" style="7" customWidth="1"/>
    <col min="5882" max="5882" width="12.140625" style="7" customWidth="1"/>
    <col min="5883" max="5883" width="13.42578125" style="7" customWidth="1"/>
    <col min="5884" max="5884" width="14.5703125" style="7" customWidth="1"/>
    <col min="5885" max="5886" width="9.140625" style="7"/>
    <col min="5887" max="5887" width="13.140625" style="7" bestFit="1" customWidth="1"/>
    <col min="5888" max="6131" width="9.140625" style="7"/>
    <col min="6132" max="6132" width="4.42578125" style="7" customWidth="1"/>
    <col min="6133" max="6133" width="6.28515625" style="7" customWidth="1"/>
    <col min="6134" max="6134" width="12.42578125" style="7" customWidth="1"/>
    <col min="6135" max="6135" width="10.7109375" style="7" customWidth="1"/>
    <col min="6136" max="6136" width="72.7109375" style="7" customWidth="1"/>
    <col min="6137" max="6137" width="6.7109375" style="7" customWidth="1"/>
    <col min="6138" max="6138" width="12.140625" style="7" customWidth="1"/>
    <col min="6139" max="6139" width="13.42578125" style="7" customWidth="1"/>
    <col min="6140" max="6140" width="14.5703125" style="7" customWidth="1"/>
    <col min="6141" max="6142" width="9.140625" style="7"/>
    <col min="6143" max="6143" width="13.140625" style="7" bestFit="1" customWidth="1"/>
    <col min="6144" max="6387" width="9.140625" style="7"/>
    <col min="6388" max="6388" width="4.42578125" style="7" customWidth="1"/>
    <col min="6389" max="6389" width="6.28515625" style="7" customWidth="1"/>
    <col min="6390" max="6390" width="12.42578125" style="7" customWidth="1"/>
    <col min="6391" max="6391" width="10.7109375" style="7" customWidth="1"/>
    <col min="6392" max="6392" width="72.7109375" style="7" customWidth="1"/>
    <col min="6393" max="6393" width="6.7109375" style="7" customWidth="1"/>
    <col min="6394" max="6394" width="12.140625" style="7" customWidth="1"/>
    <col min="6395" max="6395" width="13.42578125" style="7" customWidth="1"/>
    <col min="6396" max="6396" width="14.5703125" style="7" customWidth="1"/>
    <col min="6397" max="6398" width="9.140625" style="7"/>
    <col min="6399" max="6399" width="13.140625" style="7" bestFit="1" customWidth="1"/>
    <col min="6400" max="6643" width="9.140625" style="7"/>
    <col min="6644" max="6644" width="4.42578125" style="7" customWidth="1"/>
    <col min="6645" max="6645" width="6.28515625" style="7" customWidth="1"/>
    <col min="6646" max="6646" width="12.42578125" style="7" customWidth="1"/>
    <col min="6647" max="6647" width="10.7109375" style="7" customWidth="1"/>
    <col min="6648" max="6648" width="72.7109375" style="7" customWidth="1"/>
    <col min="6649" max="6649" width="6.7109375" style="7" customWidth="1"/>
    <col min="6650" max="6650" width="12.140625" style="7" customWidth="1"/>
    <col min="6651" max="6651" width="13.42578125" style="7" customWidth="1"/>
    <col min="6652" max="6652" width="14.5703125" style="7" customWidth="1"/>
    <col min="6653" max="6654" width="9.140625" style="7"/>
    <col min="6655" max="6655" width="13.140625" style="7" bestFit="1" customWidth="1"/>
    <col min="6656" max="6899" width="9.140625" style="7"/>
    <col min="6900" max="6900" width="4.42578125" style="7" customWidth="1"/>
    <col min="6901" max="6901" width="6.28515625" style="7" customWidth="1"/>
    <col min="6902" max="6902" width="12.42578125" style="7" customWidth="1"/>
    <col min="6903" max="6903" width="10.7109375" style="7" customWidth="1"/>
    <col min="6904" max="6904" width="72.7109375" style="7" customWidth="1"/>
    <col min="6905" max="6905" width="6.7109375" style="7" customWidth="1"/>
    <col min="6906" max="6906" width="12.140625" style="7" customWidth="1"/>
    <col min="6907" max="6907" width="13.42578125" style="7" customWidth="1"/>
    <col min="6908" max="6908" width="14.5703125" style="7" customWidth="1"/>
    <col min="6909" max="6910" width="9.140625" style="7"/>
    <col min="6911" max="6911" width="13.140625" style="7" bestFit="1" customWidth="1"/>
    <col min="6912" max="7155" width="9.140625" style="7"/>
    <col min="7156" max="7156" width="4.42578125" style="7" customWidth="1"/>
    <col min="7157" max="7157" width="6.28515625" style="7" customWidth="1"/>
    <col min="7158" max="7158" width="12.42578125" style="7" customWidth="1"/>
    <col min="7159" max="7159" width="10.7109375" style="7" customWidth="1"/>
    <col min="7160" max="7160" width="72.7109375" style="7" customWidth="1"/>
    <col min="7161" max="7161" width="6.7109375" style="7" customWidth="1"/>
    <col min="7162" max="7162" width="12.140625" style="7" customWidth="1"/>
    <col min="7163" max="7163" width="13.42578125" style="7" customWidth="1"/>
    <col min="7164" max="7164" width="14.5703125" style="7" customWidth="1"/>
    <col min="7165" max="7166" width="9.140625" style="7"/>
    <col min="7167" max="7167" width="13.140625" style="7" bestFit="1" customWidth="1"/>
    <col min="7168" max="7411" width="9.140625" style="7"/>
    <col min="7412" max="7412" width="4.42578125" style="7" customWidth="1"/>
    <col min="7413" max="7413" width="6.28515625" style="7" customWidth="1"/>
    <col min="7414" max="7414" width="12.42578125" style="7" customWidth="1"/>
    <col min="7415" max="7415" width="10.7109375" style="7" customWidth="1"/>
    <col min="7416" max="7416" width="72.7109375" style="7" customWidth="1"/>
    <col min="7417" max="7417" width="6.7109375" style="7" customWidth="1"/>
    <col min="7418" max="7418" width="12.140625" style="7" customWidth="1"/>
    <col min="7419" max="7419" width="13.42578125" style="7" customWidth="1"/>
    <col min="7420" max="7420" width="14.5703125" style="7" customWidth="1"/>
    <col min="7421" max="7422" width="9.140625" style="7"/>
    <col min="7423" max="7423" width="13.140625" style="7" bestFit="1" customWidth="1"/>
    <col min="7424" max="7667" width="9.140625" style="7"/>
    <col min="7668" max="7668" width="4.42578125" style="7" customWidth="1"/>
    <col min="7669" max="7669" width="6.28515625" style="7" customWidth="1"/>
    <col min="7670" max="7670" width="12.42578125" style="7" customWidth="1"/>
    <col min="7671" max="7671" width="10.7109375" style="7" customWidth="1"/>
    <col min="7672" max="7672" width="72.7109375" style="7" customWidth="1"/>
    <col min="7673" max="7673" width="6.7109375" style="7" customWidth="1"/>
    <col min="7674" max="7674" width="12.140625" style="7" customWidth="1"/>
    <col min="7675" max="7675" width="13.42578125" style="7" customWidth="1"/>
    <col min="7676" max="7676" width="14.5703125" style="7" customWidth="1"/>
    <col min="7677" max="7678" width="9.140625" style="7"/>
    <col min="7679" max="7679" width="13.140625" style="7" bestFit="1" customWidth="1"/>
    <col min="7680" max="7923" width="9.140625" style="7"/>
    <col min="7924" max="7924" width="4.42578125" style="7" customWidth="1"/>
    <col min="7925" max="7925" width="6.28515625" style="7" customWidth="1"/>
    <col min="7926" max="7926" width="12.42578125" style="7" customWidth="1"/>
    <col min="7927" max="7927" width="10.7109375" style="7" customWidth="1"/>
    <col min="7928" max="7928" width="72.7109375" style="7" customWidth="1"/>
    <col min="7929" max="7929" width="6.7109375" style="7" customWidth="1"/>
    <col min="7930" max="7930" width="12.140625" style="7" customWidth="1"/>
    <col min="7931" max="7931" width="13.42578125" style="7" customWidth="1"/>
    <col min="7932" max="7932" width="14.5703125" style="7" customWidth="1"/>
    <col min="7933" max="7934" width="9.140625" style="7"/>
    <col min="7935" max="7935" width="13.140625" style="7" bestFit="1" customWidth="1"/>
    <col min="7936" max="8179" width="9.140625" style="7"/>
    <col min="8180" max="8180" width="4.42578125" style="7" customWidth="1"/>
    <col min="8181" max="8181" width="6.28515625" style="7" customWidth="1"/>
    <col min="8182" max="8182" width="12.42578125" style="7" customWidth="1"/>
    <col min="8183" max="8183" width="10.7109375" style="7" customWidth="1"/>
    <col min="8184" max="8184" width="72.7109375" style="7" customWidth="1"/>
    <col min="8185" max="8185" width="6.7109375" style="7" customWidth="1"/>
    <col min="8186" max="8186" width="12.140625" style="7" customWidth="1"/>
    <col min="8187" max="8187" width="13.42578125" style="7" customWidth="1"/>
    <col min="8188" max="8188" width="14.5703125" style="7" customWidth="1"/>
    <col min="8189" max="8190" width="9.140625" style="7"/>
    <col min="8191" max="8191" width="13.140625" style="7" bestFit="1" customWidth="1"/>
    <col min="8192" max="8435" width="9.140625" style="7"/>
    <col min="8436" max="8436" width="4.42578125" style="7" customWidth="1"/>
    <col min="8437" max="8437" width="6.28515625" style="7" customWidth="1"/>
    <col min="8438" max="8438" width="12.42578125" style="7" customWidth="1"/>
    <col min="8439" max="8439" width="10.7109375" style="7" customWidth="1"/>
    <col min="8440" max="8440" width="72.7109375" style="7" customWidth="1"/>
    <col min="8441" max="8441" width="6.7109375" style="7" customWidth="1"/>
    <col min="8442" max="8442" width="12.140625" style="7" customWidth="1"/>
    <col min="8443" max="8443" width="13.42578125" style="7" customWidth="1"/>
    <col min="8444" max="8444" width="14.5703125" style="7" customWidth="1"/>
    <col min="8445" max="8446" width="9.140625" style="7"/>
    <col min="8447" max="8447" width="13.140625" style="7" bestFit="1" customWidth="1"/>
    <col min="8448" max="8691" width="9.140625" style="7"/>
    <col min="8692" max="8692" width="4.42578125" style="7" customWidth="1"/>
    <col min="8693" max="8693" width="6.28515625" style="7" customWidth="1"/>
    <col min="8694" max="8694" width="12.42578125" style="7" customWidth="1"/>
    <col min="8695" max="8695" width="10.7109375" style="7" customWidth="1"/>
    <col min="8696" max="8696" width="72.7109375" style="7" customWidth="1"/>
    <col min="8697" max="8697" width="6.7109375" style="7" customWidth="1"/>
    <col min="8698" max="8698" width="12.140625" style="7" customWidth="1"/>
    <col min="8699" max="8699" width="13.42578125" style="7" customWidth="1"/>
    <col min="8700" max="8700" width="14.5703125" style="7" customWidth="1"/>
    <col min="8701" max="8702" width="9.140625" style="7"/>
    <col min="8703" max="8703" width="13.140625" style="7" bestFit="1" customWidth="1"/>
    <col min="8704" max="8947" width="9.140625" style="7"/>
    <col min="8948" max="8948" width="4.42578125" style="7" customWidth="1"/>
    <col min="8949" max="8949" width="6.28515625" style="7" customWidth="1"/>
    <col min="8950" max="8950" width="12.42578125" style="7" customWidth="1"/>
    <col min="8951" max="8951" width="10.7109375" style="7" customWidth="1"/>
    <col min="8952" max="8952" width="72.7109375" style="7" customWidth="1"/>
    <col min="8953" max="8953" width="6.7109375" style="7" customWidth="1"/>
    <col min="8954" max="8954" width="12.140625" style="7" customWidth="1"/>
    <col min="8955" max="8955" width="13.42578125" style="7" customWidth="1"/>
    <col min="8956" max="8956" width="14.5703125" style="7" customWidth="1"/>
    <col min="8957" max="8958" width="9.140625" style="7"/>
    <col min="8959" max="8959" width="13.140625" style="7" bestFit="1" customWidth="1"/>
    <col min="8960" max="9203" width="9.140625" style="7"/>
    <col min="9204" max="9204" width="4.42578125" style="7" customWidth="1"/>
    <col min="9205" max="9205" width="6.28515625" style="7" customWidth="1"/>
    <col min="9206" max="9206" width="12.42578125" style="7" customWidth="1"/>
    <col min="9207" max="9207" width="10.7109375" style="7" customWidth="1"/>
    <col min="9208" max="9208" width="72.7109375" style="7" customWidth="1"/>
    <col min="9209" max="9209" width="6.7109375" style="7" customWidth="1"/>
    <col min="9210" max="9210" width="12.140625" style="7" customWidth="1"/>
    <col min="9211" max="9211" width="13.42578125" style="7" customWidth="1"/>
    <col min="9212" max="9212" width="14.5703125" style="7" customWidth="1"/>
    <col min="9213" max="9214" width="9.140625" style="7"/>
    <col min="9215" max="9215" width="13.140625" style="7" bestFit="1" customWidth="1"/>
    <col min="9216" max="9459" width="9.140625" style="7"/>
    <col min="9460" max="9460" width="4.42578125" style="7" customWidth="1"/>
    <col min="9461" max="9461" width="6.28515625" style="7" customWidth="1"/>
    <col min="9462" max="9462" width="12.42578125" style="7" customWidth="1"/>
    <col min="9463" max="9463" width="10.7109375" style="7" customWidth="1"/>
    <col min="9464" max="9464" width="72.7109375" style="7" customWidth="1"/>
    <col min="9465" max="9465" width="6.7109375" style="7" customWidth="1"/>
    <col min="9466" max="9466" width="12.140625" style="7" customWidth="1"/>
    <col min="9467" max="9467" width="13.42578125" style="7" customWidth="1"/>
    <col min="9468" max="9468" width="14.5703125" style="7" customWidth="1"/>
    <col min="9469" max="9470" width="9.140625" style="7"/>
    <col min="9471" max="9471" width="13.140625" style="7" bestFit="1" customWidth="1"/>
    <col min="9472" max="9715" width="9.140625" style="7"/>
    <col min="9716" max="9716" width="4.42578125" style="7" customWidth="1"/>
    <col min="9717" max="9717" width="6.28515625" style="7" customWidth="1"/>
    <col min="9718" max="9718" width="12.42578125" style="7" customWidth="1"/>
    <col min="9719" max="9719" width="10.7109375" style="7" customWidth="1"/>
    <col min="9720" max="9720" width="72.7109375" style="7" customWidth="1"/>
    <col min="9721" max="9721" width="6.7109375" style="7" customWidth="1"/>
    <col min="9722" max="9722" width="12.140625" style="7" customWidth="1"/>
    <col min="9723" max="9723" width="13.42578125" style="7" customWidth="1"/>
    <col min="9724" max="9724" width="14.5703125" style="7" customWidth="1"/>
    <col min="9725" max="9726" width="9.140625" style="7"/>
    <col min="9727" max="9727" width="13.140625" style="7" bestFit="1" customWidth="1"/>
    <col min="9728" max="9971" width="9.140625" style="7"/>
    <col min="9972" max="9972" width="4.42578125" style="7" customWidth="1"/>
    <col min="9973" max="9973" width="6.28515625" style="7" customWidth="1"/>
    <col min="9974" max="9974" width="12.42578125" style="7" customWidth="1"/>
    <col min="9975" max="9975" width="10.7109375" style="7" customWidth="1"/>
    <col min="9976" max="9976" width="72.7109375" style="7" customWidth="1"/>
    <col min="9977" max="9977" width="6.7109375" style="7" customWidth="1"/>
    <col min="9978" max="9978" width="12.140625" style="7" customWidth="1"/>
    <col min="9979" max="9979" width="13.42578125" style="7" customWidth="1"/>
    <col min="9980" max="9980" width="14.5703125" style="7" customWidth="1"/>
    <col min="9981" max="9982" width="9.140625" style="7"/>
    <col min="9983" max="9983" width="13.140625" style="7" bestFit="1" customWidth="1"/>
    <col min="9984" max="10227" width="9.140625" style="7"/>
    <col min="10228" max="10228" width="4.42578125" style="7" customWidth="1"/>
    <col min="10229" max="10229" width="6.28515625" style="7" customWidth="1"/>
    <col min="10230" max="10230" width="12.42578125" style="7" customWidth="1"/>
    <col min="10231" max="10231" width="10.7109375" style="7" customWidth="1"/>
    <col min="10232" max="10232" width="72.7109375" style="7" customWidth="1"/>
    <col min="10233" max="10233" width="6.7109375" style="7" customWidth="1"/>
    <col min="10234" max="10234" width="12.140625" style="7" customWidth="1"/>
    <col min="10235" max="10235" width="13.42578125" style="7" customWidth="1"/>
    <col min="10236" max="10236" width="14.5703125" style="7" customWidth="1"/>
    <col min="10237" max="10238" width="9.140625" style="7"/>
    <col min="10239" max="10239" width="13.140625" style="7" bestFit="1" customWidth="1"/>
    <col min="10240" max="10483" width="9.140625" style="7"/>
    <col min="10484" max="10484" width="4.42578125" style="7" customWidth="1"/>
    <col min="10485" max="10485" width="6.28515625" style="7" customWidth="1"/>
    <col min="10486" max="10486" width="12.42578125" style="7" customWidth="1"/>
    <col min="10487" max="10487" width="10.7109375" style="7" customWidth="1"/>
    <col min="10488" max="10488" width="72.7109375" style="7" customWidth="1"/>
    <col min="10489" max="10489" width="6.7109375" style="7" customWidth="1"/>
    <col min="10490" max="10490" width="12.140625" style="7" customWidth="1"/>
    <col min="10491" max="10491" width="13.42578125" style="7" customWidth="1"/>
    <col min="10492" max="10492" width="14.5703125" style="7" customWidth="1"/>
    <col min="10493" max="10494" width="9.140625" style="7"/>
    <col min="10495" max="10495" width="13.140625" style="7" bestFit="1" customWidth="1"/>
    <col min="10496" max="10739" width="9.140625" style="7"/>
    <col min="10740" max="10740" width="4.42578125" style="7" customWidth="1"/>
    <col min="10741" max="10741" width="6.28515625" style="7" customWidth="1"/>
    <col min="10742" max="10742" width="12.42578125" style="7" customWidth="1"/>
    <col min="10743" max="10743" width="10.7109375" style="7" customWidth="1"/>
    <col min="10744" max="10744" width="72.7109375" style="7" customWidth="1"/>
    <col min="10745" max="10745" width="6.7109375" style="7" customWidth="1"/>
    <col min="10746" max="10746" width="12.140625" style="7" customWidth="1"/>
    <col min="10747" max="10747" width="13.42578125" style="7" customWidth="1"/>
    <col min="10748" max="10748" width="14.5703125" style="7" customWidth="1"/>
    <col min="10749" max="10750" width="9.140625" style="7"/>
    <col min="10751" max="10751" width="13.140625" style="7" bestFit="1" customWidth="1"/>
    <col min="10752" max="10995" width="9.140625" style="7"/>
    <col min="10996" max="10996" width="4.42578125" style="7" customWidth="1"/>
    <col min="10997" max="10997" width="6.28515625" style="7" customWidth="1"/>
    <col min="10998" max="10998" width="12.42578125" style="7" customWidth="1"/>
    <col min="10999" max="10999" width="10.7109375" style="7" customWidth="1"/>
    <col min="11000" max="11000" width="72.7109375" style="7" customWidth="1"/>
    <col min="11001" max="11001" width="6.7109375" style="7" customWidth="1"/>
    <col min="11002" max="11002" width="12.140625" style="7" customWidth="1"/>
    <col min="11003" max="11003" width="13.42578125" style="7" customWidth="1"/>
    <col min="11004" max="11004" width="14.5703125" style="7" customWidth="1"/>
    <col min="11005" max="11006" width="9.140625" style="7"/>
    <col min="11007" max="11007" width="13.140625" style="7" bestFit="1" customWidth="1"/>
    <col min="11008" max="11251" width="9.140625" style="7"/>
    <col min="11252" max="11252" width="4.42578125" style="7" customWidth="1"/>
    <col min="11253" max="11253" width="6.28515625" style="7" customWidth="1"/>
    <col min="11254" max="11254" width="12.42578125" style="7" customWidth="1"/>
    <col min="11255" max="11255" width="10.7109375" style="7" customWidth="1"/>
    <col min="11256" max="11256" width="72.7109375" style="7" customWidth="1"/>
    <col min="11257" max="11257" width="6.7109375" style="7" customWidth="1"/>
    <col min="11258" max="11258" width="12.140625" style="7" customWidth="1"/>
    <col min="11259" max="11259" width="13.42578125" style="7" customWidth="1"/>
    <col min="11260" max="11260" width="14.5703125" style="7" customWidth="1"/>
    <col min="11261" max="11262" width="9.140625" style="7"/>
    <col min="11263" max="11263" width="13.140625" style="7" bestFit="1" customWidth="1"/>
    <col min="11264" max="11507" width="9.140625" style="7"/>
    <col min="11508" max="11508" width="4.42578125" style="7" customWidth="1"/>
    <col min="11509" max="11509" width="6.28515625" style="7" customWidth="1"/>
    <col min="11510" max="11510" width="12.42578125" style="7" customWidth="1"/>
    <col min="11511" max="11511" width="10.7109375" style="7" customWidth="1"/>
    <col min="11512" max="11512" width="72.7109375" style="7" customWidth="1"/>
    <col min="11513" max="11513" width="6.7109375" style="7" customWidth="1"/>
    <col min="11514" max="11514" width="12.140625" style="7" customWidth="1"/>
    <col min="11515" max="11515" width="13.42578125" style="7" customWidth="1"/>
    <col min="11516" max="11516" width="14.5703125" style="7" customWidth="1"/>
    <col min="11517" max="11518" width="9.140625" style="7"/>
    <col min="11519" max="11519" width="13.140625" style="7" bestFit="1" customWidth="1"/>
    <col min="11520" max="11763" width="9.140625" style="7"/>
    <col min="11764" max="11764" width="4.42578125" style="7" customWidth="1"/>
    <col min="11765" max="11765" width="6.28515625" style="7" customWidth="1"/>
    <col min="11766" max="11766" width="12.42578125" style="7" customWidth="1"/>
    <col min="11767" max="11767" width="10.7109375" style="7" customWidth="1"/>
    <col min="11768" max="11768" width="72.7109375" style="7" customWidth="1"/>
    <col min="11769" max="11769" width="6.7109375" style="7" customWidth="1"/>
    <col min="11770" max="11770" width="12.140625" style="7" customWidth="1"/>
    <col min="11771" max="11771" width="13.42578125" style="7" customWidth="1"/>
    <col min="11772" max="11772" width="14.5703125" style="7" customWidth="1"/>
    <col min="11773" max="11774" width="9.140625" style="7"/>
    <col min="11775" max="11775" width="13.140625" style="7" bestFit="1" customWidth="1"/>
    <col min="11776" max="12019" width="9.140625" style="7"/>
    <col min="12020" max="12020" width="4.42578125" style="7" customWidth="1"/>
    <col min="12021" max="12021" width="6.28515625" style="7" customWidth="1"/>
    <col min="12022" max="12022" width="12.42578125" style="7" customWidth="1"/>
    <col min="12023" max="12023" width="10.7109375" style="7" customWidth="1"/>
    <col min="12024" max="12024" width="72.7109375" style="7" customWidth="1"/>
    <col min="12025" max="12025" width="6.7109375" style="7" customWidth="1"/>
    <col min="12026" max="12026" width="12.140625" style="7" customWidth="1"/>
    <col min="12027" max="12027" width="13.42578125" style="7" customWidth="1"/>
    <col min="12028" max="12028" width="14.5703125" style="7" customWidth="1"/>
    <col min="12029" max="12030" width="9.140625" style="7"/>
    <col min="12031" max="12031" width="13.140625" style="7" bestFit="1" customWidth="1"/>
    <col min="12032" max="12275" width="9.140625" style="7"/>
    <col min="12276" max="12276" width="4.42578125" style="7" customWidth="1"/>
    <col min="12277" max="12277" width="6.28515625" style="7" customWidth="1"/>
    <col min="12278" max="12278" width="12.42578125" style="7" customWidth="1"/>
    <col min="12279" max="12279" width="10.7109375" style="7" customWidth="1"/>
    <col min="12280" max="12280" width="72.7109375" style="7" customWidth="1"/>
    <col min="12281" max="12281" width="6.7109375" style="7" customWidth="1"/>
    <col min="12282" max="12282" width="12.140625" style="7" customWidth="1"/>
    <col min="12283" max="12283" width="13.42578125" style="7" customWidth="1"/>
    <col min="12284" max="12284" width="14.5703125" style="7" customWidth="1"/>
    <col min="12285" max="12286" width="9.140625" style="7"/>
    <col min="12287" max="12287" width="13.140625" style="7" bestFit="1" customWidth="1"/>
    <col min="12288" max="12531" width="9.140625" style="7"/>
    <col min="12532" max="12532" width="4.42578125" style="7" customWidth="1"/>
    <col min="12533" max="12533" width="6.28515625" style="7" customWidth="1"/>
    <col min="12534" max="12534" width="12.42578125" style="7" customWidth="1"/>
    <col min="12535" max="12535" width="10.7109375" style="7" customWidth="1"/>
    <col min="12536" max="12536" width="72.7109375" style="7" customWidth="1"/>
    <col min="12537" max="12537" width="6.7109375" style="7" customWidth="1"/>
    <col min="12538" max="12538" width="12.140625" style="7" customWidth="1"/>
    <col min="12539" max="12539" width="13.42578125" style="7" customWidth="1"/>
    <col min="12540" max="12540" width="14.5703125" style="7" customWidth="1"/>
    <col min="12541" max="12542" width="9.140625" style="7"/>
    <col min="12543" max="12543" width="13.140625" style="7" bestFit="1" customWidth="1"/>
    <col min="12544" max="12787" width="9.140625" style="7"/>
    <col min="12788" max="12788" width="4.42578125" style="7" customWidth="1"/>
    <col min="12789" max="12789" width="6.28515625" style="7" customWidth="1"/>
    <col min="12790" max="12790" width="12.42578125" style="7" customWidth="1"/>
    <col min="12791" max="12791" width="10.7109375" style="7" customWidth="1"/>
    <col min="12792" max="12792" width="72.7109375" style="7" customWidth="1"/>
    <col min="12793" max="12793" width="6.7109375" style="7" customWidth="1"/>
    <col min="12794" max="12794" width="12.140625" style="7" customWidth="1"/>
    <col min="12795" max="12795" width="13.42578125" style="7" customWidth="1"/>
    <col min="12796" max="12796" width="14.5703125" style="7" customWidth="1"/>
    <col min="12797" max="12798" width="9.140625" style="7"/>
    <col min="12799" max="12799" width="13.140625" style="7" bestFit="1" customWidth="1"/>
    <col min="12800" max="13043" width="9.140625" style="7"/>
    <col min="13044" max="13044" width="4.42578125" style="7" customWidth="1"/>
    <col min="13045" max="13045" width="6.28515625" style="7" customWidth="1"/>
    <col min="13046" max="13046" width="12.42578125" style="7" customWidth="1"/>
    <col min="13047" max="13047" width="10.7109375" style="7" customWidth="1"/>
    <col min="13048" max="13048" width="72.7109375" style="7" customWidth="1"/>
    <col min="13049" max="13049" width="6.7109375" style="7" customWidth="1"/>
    <col min="13050" max="13050" width="12.140625" style="7" customWidth="1"/>
    <col min="13051" max="13051" width="13.42578125" style="7" customWidth="1"/>
    <col min="13052" max="13052" width="14.5703125" style="7" customWidth="1"/>
    <col min="13053" max="13054" width="9.140625" style="7"/>
    <col min="13055" max="13055" width="13.140625" style="7" bestFit="1" customWidth="1"/>
    <col min="13056" max="13299" width="9.140625" style="7"/>
    <col min="13300" max="13300" width="4.42578125" style="7" customWidth="1"/>
    <col min="13301" max="13301" width="6.28515625" style="7" customWidth="1"/>
    <col min="13302" max="13302" width="12.42578125" style="7" customWidth="1"/>
    <col min="13303" max="13303" width="10.7109375" style="7" customWidth="1"/>
    <col min="13304" max="13304" width="72.7109375" style="7" customWidth="1"/>
    <col min="13305" max="13305" width="6.7109375" style="7" customWidth="1"/>
    <col min="13306" max="13306" width="12.140625" style="7" customWidth="1"/>
    <col min="13307" max="13307" width="13.42578125" style="7" customWidth="1"/>
    <col min="13308" max="13308" width="14.5703125" style="7" customWidth="1"/>
    <col min="13309" max="13310" width="9.140625" style="7"/>
    <col min="13311" max="13311" width="13.140625" style="7" bestFit="1" customWidth="1"/>
    <col min="13312" max="13555" width="9.140625" style="7"/>
    <col min="13556" max="13556" width="4.42578125" style="7" customWidth="1"/>
    <col min="13557" max="13557" width="6.28515625" style="7" customWidth="1"/>
    <col min="13558" max="13558" width="12.42578125" style="7" customWidth="1"/>
    <col min="13559" max="13559" width="10.7109375" style="7" customWidth="1"/>
    <col min="13560" max="13560" width="72.7109375" style="7" customWidth="1"/>
    <col min="13561" max="13561" width="6.7109375" style="7" customWidth="1"/>
    <col min="13562" max="13562" width="12.140625" style="7" customWidth="1"/>
    <col min="13563" max="13563" width="13.42578125" style="7" customWidth="1"/>
    <col min="13564" max="13564" width="14.5703125" style="7" customWidth="1"/>
    <col min="13565" max="13566" width="9.140625" style="7"/>
    <col min="13567" max="13567" width="13.140625" style="7" bestFit="1" customWidth="1"/>
    <col min="13568" max="13811" width="9.140625" style="7"/>
    <col min="13812" max="13812" width="4.42578125" style="7" customWidth="1"/>
    <col min="13813" max="13813" width="6.28515625" style="7" customWidth="1"/>
    <col min="13814" max="13814" width="12.42578125" style="7" customWidth="1"/>
    <col min="13815" max="13815" width="10.7109375" style="7" customWidth="1"/>
    <col min="13816" max="13816" width="72.7109375" style="7" customWidth="1"/>
    <col min="13817" max="13817" width="6.7109375" style="7" customWidth="1"/>
    <col min="13818" max="13818" width="12.140625" style="7" customWidth="1"/>
    <col min="13819" max="13819" width="13.42578125" style="7" customWidth="1"/>
    <col min="13820" max="13820" width="14.5703125" style="7" customWidth="1"/>
    <col min="13821" max="13822" width="9.140625" style="7"/>
    <col min="13823" max="13823" width="13.140625" style="7" bestFit="1" customWidth="1"/>
    <col min="13824" max="14067" width="9.140625" style="7"/>
    <col min="14068" max="14068" width="4.42578125" style="7" customWidth="1"/>
    <col min="14069" max="14069" width="6.28515625" style="7" customWidth="1"/>
    <col min="14070" max="14070" width="12.42578125" style="7" customWidth="1"/>
    <col min="14071" max="14071" width="10.7109375" style="7" customWidth="1"/>
    <col min="14072" max="14072" width="72.7109375" style="7" customWidth="1"/>
    <col min="14073" max="14073" width="6.7109375" style="7" customWidth="1"/>
    <col min="14074" max="14074" width="12.140625" style="7" customWidth="1"/>
    <col min="14075" max="14075" width="13.42578125" style="7" customWidth="1"/>
    <col min="14076" max="14076" width="14.5703125" style="7" customWidth="1"/>
    <col min="14077" max="14078" width="9.140625" style="7"/>
    <col min="14079" max="14079" width="13.140625" style="7" bestFit="1" customWidth="1"/>
    <col min="14080" max="14323" width="9.140625" style="7"/>
    <col min="14324" max="14324" width="4.42578125" style="7" customWidth="1"/>
    <col min="14325" max="14325" width="6.28515625" style="7" customWidth="1"/>
    <col min="14326" max="14326" width="12.42578125" style="7" customWidth="1"/>
    <col min="14327" max="14327" width="10.7109375" style="7" customWidth="1"/>
    <col min="14328" max="14328" width="72.7109375" style="7" customWidth="1"/>
    <col min="14329" max="14329" width="6.7109375" style="7" customWidth="1"/>
    <col min="14330" max="14330" width="12.140625" style="7" customWidth="1"/>
    <col min="14331" max="14331" width="13.42578125" style="7" customWidth="1"/>
    <col min="14332" max="14332" width="14.5703125" style="7" customWidth="1"/>
    <col min="14333" max="14334" width="9.140625" style="7"/>
    <col min="14335" max="14335" width="13.140625" style="7" bestFit="1" customWidth="1"/>
    <col min="14336" max="14579" width="9.140625" style="7"/>
    <col min="14580" max="14580" width="4.42578125" style="7" customWidth="1"/>
    <col min="14581" max="14581" width="6.28515625" style="7" customWidth="1"/>
    <col min="14582" max="14582" width="12.42578125" style="7" customWidth="1"/>
    <col min="14583" max="14583" width="10.7109375" style="7" customWidth="1"/>
    <col min="14584" max="14584" width="72.7109375" style="7" customWidth="1"/>
    <col min="14585" max="14585" width="6.7109375" style="7" customWidth="1"/>
    <col min="14586" max="14586" width="12.140625" style="7" customWidth="1"/>
    <col min="14587" max="14587" width="13.42578125" style="7" customWidth="1"/>
    <col min="14588" max="14588" width="14.5703125" style="7" customWidth="1"/>
    <col min="14589" max="14590" width="9.140625" style="7"/>
    <col min="14591" max="14591" width="13.140625" style="7" bestFit="1" customWidth="1"/>
    <col min="14592" max="14835" width="9.140625" style="7"/>
    <col min="14836" max="14836" width="4.42578125" style="7" customWidth="1"/>
    <col min="14837" max="14837" width="6.28515625" style="7" customWidth="1"/>
    <col min="14838" max="14838" width="12.42578125" style="7" customWidth="1"/>
    <col min="14839" max="14839" width="10.7109375" style="7" customWidth="1"/>
    <col min="14840" max="14840" width="72.7109375" style="7" customWidth="1"/>
    <col min="14841" max="14841" width="6.7109375" style="7" customWidth="1"/>
    <col min="14842" max="14842" width="12.140625" style="7" customWidth="1"/>
    <col min="14843" max="14843" width="13.42578125" style="7" customWidth="1"/>
    <col min="14844" max="14844" width="14.5703125" style="7" customWidth="1"/>
    <col min="14845" max="14846" width="9.140625" style="7"/>
    <col min="14847" max="14847" width="13.140625" style="7" bestFit="1" customWidth="1"/>
    <col min="14848" max="15091" width="9.140625" style="7"/>
    <col min="15092" max="15092" width="4.42578125" style="7" customWidth="1"/>
    <col min="15093" max="15093" width="6.28515625" style="7" customWidth="1"/>
    <col min="15094" max="15094" width="12.42578125" style="7" customWidth="1"/>
    <col min="15095" max="15095" width="10.7109375" style="7" customWidth="1"/>
    <col min="15096" max="15096" width="72.7109375" style="7" customWidth="1"/>
    <col min="15097" max="15097" width="6.7109375" style="7" customWidth="1"/>
    <col min="15098" max="15098" width="12.140625" style="7" customWidth="1"/>
    <col min="15099" max="15099" width="13.42578125" style="7" customWidth="1"/>
    <col min="15100" max="15100" width="14.5703125" style="7" customWidth="1"/>
    <col min="15101" max="15102" width="9.140625" style="7"/>
    <col min="15103" max="15103" width="13.140625" style="7" bestFit="1" customWidth="1"/>
    <col min="15104" max="15347" width="9.140625" style="7"/>
    <col min="15348" max="15348" width="4.42578125" style="7" customWidth="1"/>
    <col min="15349" max="15349" width="6.28515625" style="7" customWidth="1"/>
    <col min="15350" max="15350" width="12.42578125" style="7" customWidth="1"/>
    <col min="15351" max="15351" width="10.7109375" style="7" customWidth="1"/>
    <col min="15352" max="15352" width="72.7109375" style="7" customWidth="1"/>
    <col min="15353" max="15353" width="6.7109375" style="7" customWidth="1"/>
    <col min="15354" max="15354" width="12.140625" style="7" customWidth="1"/>
    <col min="15355" max="15355" width="13.42578125" style="7" customWidth="1"/>
    <col min="15356" max="15356" width="14.5703125" style="7" customWidth="1"/>
    <col min="15357" max="15358" width="9.140625" style="7"/>
    <col min="15359" max="15359" width="13.140625" style="7" bestFit="1" customWidth="1"/>
    <col min="15360" max="15603" width="9.140625" style="7"/>
    <col min="15604" max="15604" width="4.42578125" style="7" customWidth="1"/>
    <col min="15605" max="15605" width="6.28515625" style="7" customWidth="1"/>
    <col min="15606" max="15606" width="12.42578125" style="7" customWidth="1"/>
    <col min="15607" max="15607" width="10.7109375" style="7" customWidth="1"/>
    <col min="15608" max="15608" width="72.7109375" style="7" customWidth="1"/>
    <col min="15609" max="15609" width="6.7109375" style="7" customWidth="1"/>
    <col min="15610" max="15610" width="12.140625" style="7" customWidth="1"/>
    <col min="15611" max="15611" width="13.42578125" style="7" customWidth="1"/>
    <col min="15612" max="15612" width="14.5703125" style="7" customWidth="1"/>
    <col min="15613" max="15614" width="9.140625" style="7"/>
    <col min="15615" max="15615" width="13.140625" style="7" bestFit="1" customWidth="1"/>
    <col min="15616" max="15859" width="9.140625" style="7"/>
    <col min="15860" max="15860" width="4.42578125" style="7" customWidth="1"/>
    <col min="15861" max="15861" width="6.28515625" style="7" customWidth="1"/>
    <col min="15862" max="15862" width="12.42578125" style="7" customWidth="1"/>
    <col min="15863" max="15863" width="10.7109375" style="7" customWidth="1"/>
    <col min="15864" max="15864" width="72.7109375" style="7" customWidth="1"/>
    <col min="15865" max="15865" width="6.7109375" style="7" customWidth="1"/>
    <col min="15866" max="15866" width="12.140625" style="7" customWidth="1"/>
    <col min="15867" max="15867" width="13.42578125" style="7" customWidth="1"/>
    <col min="15868" max="15868" width="14.5703125" style="7" customWidth="1"/>
    <col min="15869" max="15870" width="9.140625" style="7"/>
    <col min="15871" max="15871" width="13.140625" style="7" bestFit="1" customWidth="1"/>
    <col min="15872" max="16115" width="9.140625" style="7"/>
    <col min="16116" max="16116" width="4.42578125" style="7" customWidth="1"/>
    <col min="16117" max="16117" width="6.28515625" style="7" customWidth="1"/>
    <col min="16118" max="16118" width="12.42578125" style="7" customWidth="1"/>
    <col min="16119" max="16119" width="10.7109375" style="7" customWidth="1"/>
    <col min="16120" max="16120" width="72.7109375" style="7" customWidth="1"/>
    <col min="16121" max="16121" width="6.7109375" style="7" customWidth="1"/>
    <col min="16122" max="16122" width="12.140625" style="7" customWidth="1"/>
    <col min="16123" max="16123" width="13.42578125" style="7" customWidth="1"/>
    <col min="16124" max="16124" width="14.5703125" style="7" customWidth="1"/>
    <col min="16125" max="16126" width="9.140625" style="7"/>
    <col min="16127" max="16127" width="13.140625" style="7" bestFit="1" customWidth="1"/>
    <col min="16128" max="16384" width="9.140625" style="7"/>
  </cols>
  <sheetData>
    <row r="1" spans="1:11">
      <c r="A1" s="8"/>
      <c r="B1" s="8"/>
      <c r="C1" s="8"/>
      <c r="D1" s="8"/>
      <c r="E1" s="34"/>
      <c r="F1" s="34"/>
      <c r="G1" s="34"/>
      <c r="H1" s="34"/>
      <c r="I1" s="34"/>
      <c r="J1" s="34"/>
      <c r="K1" s="34"/>
    </row>
    <row r="2" spans="1:11" ht="18">
      <c r="A2" s="525" t="s">
        <v>326</v>
      </c>
      <c r="B2" s="525"/>
      <c r="C2" s="525"/>
      <c r="D2" s="525"/>
      <c r="E2" s="525"/>
      <c r="F2" s="525"/>
      <c r="G2" s="525"/>
      <c r="H2" s="525"/>
      <c r="I2" s="525"/>
      <c r="J2" s="525"/>
      <c r="K2" s="525"/>
    </row>
    <row r="3" spans="1:11">
      <c r="A3" s="8"/>
      <c r="B3" s="8"/>
      <c r="C3" s="8"/>
      <c r="D3" s="8"/>
      <c r="E3" s="34"/>
      <c r="F3" s="34"/>
      <c r="G3" s="34"/>
      <c r="H3" s="34"/>
      <c r="I3" s="34"/>
      <c r="J3" s="34"/>
      <c r="K3" s="34"/>
    </row>
    <row r="4" spans="1:11">
      <c r="A4" s="4" t="s">
        <v>331</v>
      </c>
      <c r="B4" s="4"/>
      <c r="C4" s="1"/>
      <c r="D4" s="2"/>
      <c r="E4" s="9"/>
      <c r="F4" s="9"/>
      <c r="G4" s="9"/>
      <c r="H4" s="34"/>
      <c r="I4" s="34"/>
      <c r="J4" s="34"/>
      <c r="K4" s="34"/>
    </row>
    <row r="5" spans="1:11">
      <c r="A5" s="4" t="s">
        <v>124</v>
      </c>
      <c r="B5" s="4"/>
      <c r="C5" s="4"/>
      <c r="D5" s="5"/>
      <c r="E5" s="3"/>
      <c r="F5" s="3"/>
      <c r="G5" s="3"/>
      <c r="H5" s="34"/>
      <c r="I5" s="34"/>
      <c r="J5" s="34"/>
      <c r="K5" s="34"/>
    </row>
    <row r="6" spans="1:11" ht="12.75" customHeight="1">
      <c r="A6" s="4" t="s">
        <v>1403</v>
      </c>
      <c r="B6" s="4"/>
      <c r="C6" s="1"/>
      <c r="D6" s="5"/>
      <c r="E6" s="3"/>
      <c r="F6" s="80" t="s">
        <v>1196</v>
      </c>
      <c r="G6" s="3"/>
      <c r="H6" s="34"/>
      <c r="I6" s="34"/>
      <c r="J6" s="34"/>
      <c r="K6" s="34"/>
    </row>
    <row r="7" spans="1:11" ht="12" thickBot="1">
      <c r="A7" s="4" t="s">
        <v>1530</v>
      </c>
      <c r="B7" s="4"/>
      <c r="C7" s="1"/>
      <c r="D7" s="5"/>
      <c r="E7" s="3"/>
      <c r="F7" s="3"/>
      <c r="G7" s="3"/>
      <c r="H7" s="34"/>
      <c r="I7" s="34"/>
      <c r="J7" s="34"/>
      <c r="K7" s="34"/>
    </row>
    <row r="8" spans="1:11" ht="12" thickBot="1">
      <c r="A8" s="159"/>
      <c r="B8" s="159"/>
      <c r="C8" s="159"/>
      <c r="D8" s="10"/>
      <c r="E8" s="11"/>
      <c r="F8" s="526" t="s">
        <v>125</v>
      </c>
      <c r="G8" s="527"/>
      <c r="H8" s="527"/>
      <c r="I8" s="527"/>
      <c r="J8" s="528"/>
      <c r="K8" s="524" t="s">
        <v>156</v>
      </c>
    </row>
    <row r="9" spans="1:11" ht="23.25" thickBot="1">
      <c r="A9" s="152" t="s">
        <v>1</v>
      </c>
      <c r="B9" s="152" t="s">
        <v>2</v>
      </c>
      <c r="C9" s="152" t="s">
        <v>3</v>
      </c>
      <c r="D9" s="42" t="s">
        <v>4</v>
      </c>
      <c r="E9" s="43" t="s">
        <v>126</v>
      </c>
      <c r="F9" s="134" t="s">
        <v>127</v>
      </c>
      <c r="G9" s="135" t="s">
        <v>128</v>
      </c>
      <c r="H9" s="136" t="s">
        <v>129</v>
      </c>
      <c r="I9" s="136" t="s">
        <v>155</v>
      </c>
      <c r="J9" s="136" t="s">
        <v>130</v>
      </c>
      <c r="K9" s="524"/>
    </row>
    <row r="10" spans="1:11" s="12" customFormat="1">
      <c r="A10" s="122" t="s">
        <v>6</v>
      </c>
      <c r="B10" s="123"/>
      <c r="C10" s="123"/>
      <c r="D10" s="124" t="s">
        <v>248</v>
      </c>
      <c r="E10" s="123"/>
      <c r="F10" s="125"/>
      <c r="G10" s="125"/>
      <c r="H10" s="125"/>
      <c r="I10" s="125"/>
      <c r="J10" s="125"/>
      <c r="K10" s="126"/>
    </row>
    <row r="11" spans="1:11" s="12" customFormat="1" ht="22.5">
      <c r="A11" s="13" t="s">
        <v>8</v>
      </c>
      <c r="B11" s="161" t="s">
        <v>453</v>
      </c>
      <c r="C11" s="161" t="s">
        <v>133</v>
      </c>
      <c r="D11" s="164" t="s">
        <v>1197</v>
      </c>
      <c r="E11" s="169" t="s">
        <v>126</v>
      </c>
      <c r="F11" s="170"/>
      <c r="G11" s="171"/>
      <c r="H11" s="172"/>
      <c r="I11" s="172"/>
      <c r="J11" s="172"/>
      <c r="K11" s="128">
        <v>1</v>
      </c>
    </row>
    <row r="12" spans="1:11" s="12" customFormat="1">
      <c r="A12" s="13"/>
      <c r="B12" s="161"/>
      <c r="C12" s="161"/>
      <c r="D12" s="164"/>
      <c r="E12" s="169"/>
      <c r="F12" s="170"/>
      <c r="G12" s="171"/>
      <c r="H12" s="172"/>
      <c r="I12" s="172"/>
      <c r="J12" s="172"/>
      <c r="K12" s="54"/>
    </row>
    <row r="13" spans="1:11" s="12" customFormat="1">
      <c r="A13" s="127" t="s">
        <v>12</v>
      </c>
      <c r="B13" s="173"/>
      <c r="C13" s="173"/>
      <c r="D13" s="174" t="s">
        <v>118</v>
      </c>
      <c r="E13" s="173"/>
      <c r="F13" s="175"/>
      <c r="G13" s="175"/>
      <c r="H13" s="175"/>
      <c r="I13" s="175"/>
      <c r="J13" s="175"/>
      <c r="K13" s="120"/>
    </row>
    <row r="14" spans="1:11" s="12" customFormat="1">
      <c r="A14" s="13" t="s">
        <v>14</v>
      </c>
      <c r="B14" s="161" t="s">
        <v>1516</v>
      </c>
      <c r="C14" s="161" t="s">
        <v>9</v>
      </c>
      <c r="D14" s="164" t="s">
        <v>1198</v>
      </c>
      <c r="E14" s="161" t="s">
        <v>400</v>
      </c>
      <c r="F14" s="142"/>
      <c r="G14" s="142"/>
      <c r="H14" s="142"/>
      <c r="I14" s="142"/>
      <c r="J14" s="142"/>
      <c r="K14" s="21">
        <f>SUM(K15:K15)</f>
        <v>600</v>
      </c>
    </row>
    <row r="15" spans="1:11" s="12" customFormat="1" ht="33.75">
      <c r="A15" s="13"/>
      <c r="B15" s="161"/>
      <c r="C15" s="161"/>
      <c r="D15" s="164" t="s">
        <v>406</v>
      </c>
      <c r="E15" s="161"/>
      <c r="F15" s="162" t="s">
        <v>401</v>
      </c>
      <c r="G15" s="142">
        <v>2400</v>
      </c>
      <c r="H15" s="142">
        <v>0.25</v>
      </c>
      <c r="I15" s="142"/>
      <c r="J15" s="142"/>
      <c r="K15" s="20">
        <f>G15*H15</f>
        <v>600</v>
      </c>
    </row>
    <row r="16" spans="1:11" s="12" customFormat="1">
      <c r="A16" s="13"/>
      <c r="B16" s="434"/>
      <c r="C16" s="434"/>
      <c r="D16" s="435"/>
      <c r="E16" s="434"/>
      <c r="F16" s="423"/>
      <c r="G16" s="423"/>
      <c r="H16" s="423"/>
      <c r="I16" s="423"/>
      <c r="J16" s="423"/>
      <c r="K16" s="20"/>
    </row>
    <row r="17" spans="1:13" s="12" customFormat="1" ht="33.75">
      <c r="A17" s="13" t="s">
        <v>16</v>
      </c>
      <c r="B17" s="434" t="s">
        <v>1517</v>
      </c>
      <c r="C17" s="434" t="s">
        <v>280</v>
      </c>
      <c r="D17" s="435" t="s">
        <v>1518</v>
      </c>
      <c r="E17" s="434" t="s">
        <v>400</v>
      </c>
      <c r="F17" s="423"/>
      <c r="G17" s="423"/>
      <c r="H17" s="423"/>
      <c r="I17" s="423"/>
      <c r="J17" s="423"/>
      <c r="K17" s="21">
        <f>K18</f>
        <v>1800.63</v>
      </c>
      <c r="M17" s="44" t="s">
        <v>1515</v>
      </c>
    </row>
    <row r="18" spans="1:13" s="12" customFormat="1" ht="22.5">
      <c r="A18" s="13"/>
      <c r="B18" s="434"/>
      <c r="C18" s="434"/>
      <c r="D18" s="435" t="s">
        <v>1519</v>
      </c>
      <c r="E18" s="434"/>
      <c r="F18" s="423"/>
      <c r="G18" s="423"/>
      <c r="H18" s="423"/>
      <c r="I18" s="423"/>
      <c r="J18" s="423"/>
      <c r="K18" s="20">
        <v>1800.63</v>
      </c>
      <c r="M18"/>
    </row>
    <row r="19" spans="1:13" s="12" customFormat="1" ht="15">
      <c r="A19" s="13"/>
      <c r="B19" s="434"/>
      <c r="C19" s="434"/>
      <c r="D19" s="435"/>
      <c r="E19" s="434"/>
      <c r="F19" s="423"/>
      <c r="G19" s="423"/>
      <c r="H19" s="423"/>
      <c r="I19" s="423"/>
      <c r="J19" s="423"/>
      <c r="K19" s="20"/>
      <c r="M19"/>
    </row>
    <row r="20" spans="1:13" s="12" customFormat="1" ht="22.5">
      <c r="A20" s="13" t="s">
        <v>1523</v>
      </c>
      <c r="B20" s="434" t="s">
        <v>1521</v>
      </c>
      <c r="C20" s="434" t="s">
        <v>9</v>
      </c>
      <c r="D20" s="435" t="s">
        <v>1522</v>
      </c>
      <c r="E20" s="434" t="s">
        <v>400</v>
      </c>
      <c r="F20" s="423"/>
      <c r="G20" s="423"/>
      <c r="H20" s="423"/>
      <c r="I20" s="423"/>
      <c r="J20" s="423"/>
      <c r="K20" s="21">
        <f>K21</f>
        <v>761.84</v>
      </c>
      <c r="M20" t="s">
        <v>1520</v>
      </c>
    </row>
    <row r="21" spans="1:13" s="12" customFormat="1" ht="22.5">
      <c r="A21" s="13"/>
      <c r="B21" s="434"/>
      <c r="C21" s="434"/>
      <c r="D21" s="435" t="s">
        <v>1519</v>
      </c>
      <c r="E21" s="434"/>
      <c r="F21" s="423"/>
      <c r="G21" s="423"/>
      <c r="H21" s="423"/>
      <c r="I21" s="423"/>
      <c r="J21" s="423"/>
      <c r="K21" s="20">
        <v>761.84</v>
      </c>
      <c r="M21"/>
    </row>
    <row r="22" spans="1:13" s="12" customFormat="1">
      <c r="A22" s="13"/>
      <c r="B22" s="161"/>
      <c r="C22" s="161"/>
      <c r="D22" s="164"/>
      <c r="E22" s="161"/>
      <c r="F22" s="142"/>
      <c r="G22" s="142"/>
      <c r="H22" s="142"/>
      <c r="I22" s="142"/>
      <c r="J22" s="142"/>
      <c r="K22" s="20"/>
    </row>
    <row r="23" spans="1:13" s="12" customFormat="1">
      <c r="A23" s="13" t="s">
        <v>1524</v>
      </c>
      <c r="B23" s="161">
        <v>98459</v>
      </c>
      <c r="C23" s="161" t="s">
        <v>9</v>
      </c>
      <c r="D23" s="164" t="s">
        <v>1199</v>
      </c>
      <c r="E23" s="161" t="s">
        <v>208</v>
      </c>
      <c r="F23" s="142"/>
      <c r="G23" s="142"/>
      <c r="H23" s="142"/>
      <c r="I23" s="142"/>
      <c r="J23" s="142"/>
      <c r="K23" s="21">
        <f>SUM(K24:K26)</f>
        <v>424</v>
      </c>
    </row>
    <row r="24" spans="1:13" s="12" customFormat="1">
      <c r="A24" s="13"/>
      <c r="B24" s="161"/>
      <c r="C24" s="161"/>
      <c r="D24" s="164" t="s">
        <v>452</v>
      </c>
      <c r="E24" s="161"/>
      <c r="F24" s="142"/>
      <c r="G24" s="142">
        <v>43</v>
      </c>
      <c r="H24" s="142">
        <v>2</v>
      </c>
      <c r="I24" s="142"/>
      <c r="J24" s="142"/>
      <c r="K24" s="20">
        <f>G24*H24</f>
        <v>86</v>
      </c>
    </row>
    <row r="25" spans="1:13" s="12" customFormat="1">
      <c r="A25" s="13"/>
      <c r="B25" s="161"/>
      <c r="C25" s="161"/>
      <c r="D25" s="164" t="s">
        <v>1204</v>
      </c>
      <c r="E25" s="161"/>
      <c r="F25" s="142"/>
      <c r="G25" s="142">
        <v>126</v>
      </c>
      <c r="H25" s="142">
        <v>2</v>
      </c>
      <c r="I25" s="142"/>
      <c r="J25" s="142"/>
      <c r="K25" s="20">
        <f t="shared" ref="K25:K26" si="0">G25*H25</f>
        <v>252</v>
      </c>
    </row>
    <row r="26" spans="1:13" s="12" customFormat="1">
      <c r="A26" s="13"/>
      <c r="B26" s="161"/>
      <c r="C26" s="161"/>
      <c r="D26" s="164" t="s">
        <v>1203</v>
      </c>
      <c r="E26" s="161"/>
      <c r="F26" s="142"/>
      <c r="G26" s="142">
        <v>43</v>
      </c>
      <c r="H26" s="142">
        <v>2</v>
      </c>
      <c r="I26" s="142"/>
      <c r="J26" s="142"/>
      <c r="K26" s="20">
        <f t="shared" si="0"/>
        <v>86</v>
      </c>
    </row>
    <row r="27" spans="1:13" s="12" customFormat="1">
      <c r="A27" s="13"/>
      <c r="B27" s="161"/>
      <c r="C27" s="161"/>
      <c r="D27" s="164"/>
      <c r="E27" s="161"/>
      <c r="F27" s="142"/>
      <c r="G27" s="142"/>
      <c r="H27" s="142"/>
      <c r="I27" s="142"/>
      <c r="J27" s="142"/>
      <c r="K27" s="20"/>
    </row>
    <row r="28" spans="1:13">
      <c r="A28" s="119" t="s">
        <v>17</v>
      </c>
      <c r="B28" s="176"/>
      <c r="C28" s="176"/>
      <c r="D28" s="177" t="s">
        <v>7</v>
      </c>
      <c r="E28" s="178"/>
      <c r="F28" s="175"/>
      <c r="G28" s="175"/>
      <c r="H28" s="175"/>
      <c r="I28" s="175"/>
      <c r="J28" s="175"/>
      <c r="K28" s="120"/>
    </row>
    <row r="29" spans="1:13">
      <c r="A29" s="14" t="s">
        <v>19</v>
      </c>
      <c r="B29" s="139" t="s">
        <v>454</v>
      </c>
      <c r="C29" s="139" t="s">
        <v>133</v>
      </c>
      <c r="D29" s="165" t="s">
        <v>1200</v>
      </c>
      <c r="E29" s="163" t="s">
        <v>208</v>
      </c>
      <c r="F29" s="179"/>
      <c r="G29" s="180">
        <v>3</v>
      </c>
      <c r="H29" s="180">
        <v>2</v>
      </c>
      <c r="I29" s="156"/>
      <c r="J29" s="156"/>
      <c r="K29" s="27">
        <f>G29*H29</f>
        <v>6</v>
      </c>
    </row>
    <row r="30" spans="1:13" ht="33.75">
      <c r="A30" s="14" t="s">
        <v>21</v>
      </c>
      <c r="B30" s="155">
        <v>99059</v>
      </c>
      <c r="C30" s="139" t="s">
        <v>9</v>
      </c>
      <c r="D30" s="165" t="s">
        <v>1201</v>
      </c>
      <c r="E30" s="155" t="s">
        <v>210</v>
      </c>
      <c r="F30" s="156">
        <v>42.85</v>
      </c>
      <c r="G30" s="156">
        <v>61.7</v>
      </c>
      <c r="H30" s="156"/>
      <c r="I30" s="156"/>
      <c r="J30" s="156"/>
      <c r="K30" s="27">
        <f>((2*F30)+(2*G30))</f>
        <v>209.10000000000002</v>
      </c>
    </row>
    <row r="31" spans="1:13" ht="22.5">
      <c r="A31" s="14" t="s">
        <v>22</v>
      </c>
      <c r="B31" s="139" t="s">
        <v>407</v>
      </c>
      <c r="C31" s="139" t="s">
        <v>133</v>
      </c>
      <c r="D31" s="165" t="s">
        <v>1202</v>
      </c>
      <c r="E31" s="163" t="s">
        <v>126</v>
      </c>
      <c r="F31" s="156"/>
      <c r="G31" s="156"/>
      <c r="H31" s="156"/>
      <c r="I31" s="156"/>
      <c r="J31" s="156"/>
      <c r="K31" s="27">
        <v>1</v>
      </c>
    </row>
    <row r="32" spans="1:13" ht="22.5">
      <c r="A32" s="14" t="s">
        <v>1528</v>
      </c>
      <c r="B32" s="429" t="s">
        <v>1526</v>
      </c>
      <c r="C32" s="429" t="s">
        <v>11</v>
      </c>
      <c r="D32" s="436" t="s">
        <v>1527</v>
      </c>
      <c r="E32" s="437" t="s">
        <v>208</v>
      </c>
      <c r="F32" s="438">
        <v>40</v>
      </c>
      <c r="G32" s="438">
        <v>60</v>
      </c>
      <c r="H32" s="438"/>
      <c r="I32" s="438"/>
      <c r="J32" s="438"/>
      <c r="K32" s="27">
        <f>F32*G32</f>
        <v>2400</v>
      </c>
      <c r="M32" s="7" t="s">
        <v>1525</v>
      </c>
    </row>
    <row r="33" spans="1:11">
      <c r="A33" s="14"/>
      <c r="B33" s="181"/>
      <c r="C33" s="182"/>
      <c r="D33" s="183"/>
      <c r="E33" s="184"/>
      <c r="F33" s="156"/>
      <c r="G33" s="156"/>
      <c r="H33" s="156"/>
      <c r="I33" s="156"/>
      <c r="J33" s="156"/>
      <c r="K33" s="27"/>
    </row>
    <row r="34" spans="1:11">
      <c r="A34" s="119" t="s">
        <v>24</v>
      </c>
      <c r="B34" s="176"/>
      <c r="C34" s="176"/>
      <c r="D34" s="177" t="s">
        <v>13</v>
      </c>
      <c r="E34" s="178"/>
      <c r="F34" s="175"/>
      <c r="G34" s="175"/>
      <c r="H34" s="175"/>
      <c r="I34" s="175"/>
      <c r="J34" s="175"/>
      <c r="K34" s="120"/>
    </row>
    <row r="35" spans="1:11" ht="22.5">
      <c r="A35" s="391" t="s">
        <v>25</v>
      </c>
      <c r="B35" s="392" t="s">
        <v>455</v>
      </c>
      <c r="C35" s="392" t="s">
        <v>133</v>
      </c>
      <c r="D35" s="393" t="s">
        <v>569</v>
      </c>
      <c r="E35" s="392" t="s">
        <v>400</v>
      </c>
      <c r="F35" s="142"/>
      <c r="G35" s="142"/>
      <c r="H35" s="142"/>
      <c r="I35" s="142"/>
      <c r="J35" s="142"/>
      <c r="K35" s="21">
        <f>SUM(K36:K36)</f>
        <v>1038.79</v>
      </c>
    </row>
    <row r="36" spans="1:11" s="12" customFormat="1" ht="23.25" customHeight="1">
      <c r="A36" s="16"/>
      <c r="B36" s="139"/>
      <c r="C36" s="139"/>
      <c r="D36" s="147" t="s">
        <v>1404</v>
      </c>
      <c r="E36" s="139"/>
      <c r="F36" s="142"/>
      <c r="G36" s="142"/>
      <c r="H36" s="142"/>
      <c r="I36" s="142"/>
      <c r="J36" s="142"/>
      <c r="K36" s="20">
        <v>1038.79</v>
      </c>
    </row>
    <row r="37" spans="1:11" s="12" customFormat="1">
      <c r="A37" s="16"/>
      <c r="B37" s="139"/>
      <c r="C37" s="139"/>
      <c r="D37" s="147"/>
      <c r="E37" s="139"/>
      <c r="F37" s="142"/>
      <c r="G37" s="142"/>
      <c r="H37" s="142"/>
      <c r="I37" s="142"/>
      <c r="J37" s="142"/>
      <c r="K37" s="20"/>
    </row>
    <row r="38" spans="1:11" s="12" customFormat="1">
      <c r="A38" s="15" t="s">
        <v>26</v>
      </c>
      <c r="B38" s="149">
        <v>93358</v>
      </c>
      <c r="C38" s="149" t="s">
        <v>9</v>
      </c>
      <c r="D38" s="150" t="s">
        <v>1205</v>
      </c>
      <c r="E38" s="149" t="s">
        <v>400</v>
      </c>
      <c r="F38" s="142"/>
      <c r="G38" s="142"/>
      <c r="H38" s="142"/>
      <c r="I38" s="142"/>
      <c r="J38" s="142"/>
      <c r="K38" s="21">
        <f>SUM(K39:K40)</f>
        <v>360.75</v>
      </c>
    </row>
    <row r="39" spans="1:11" s="12" customFormat="1">
      <c r="A39" s="15"/>
      <c r="B39" s="149"/>
      <c r="C39" s="149"/>
      <c r="D39" s="147" t="s">
        <v>233</v>
      </c>
      <c r="E39" s="139"/>
      <c r="F39" s="142">
        <v>1.5</v>
      </c>
      <c r="G39" s="142">
        <v>1.5</v>
      </c>
      <c r="H39" s="142">
        <v>1</v>
      </c>
      <c r="I39" s="142">
        <v>27</v>
      </c>
      <c r="J39" s="142"/>
      <c r="K39" s="20">
        <f>(F39*G39*H39)*I39</f>
        <v>60.75</v>
      </c>
    </row>
    <row r="40" spans="1:11" s="12" customFormat="1" ht="22.5">
      <c r="A40" s="15"/>
      <c r="B40" s="149"/>
      <c r="C40" s="149"/>
      <c r="D40" s="147" t="s">
        <v>456</v>
      </c>
      <c r="E40" s="139"/>
      <c r="F40" s="142">
        <v>1.5</v>
      </c>
      <c r="G40" s="142">
        <v>200</v>
      </c>
      <c r="H40" s="142">
        <v>1</v>
      </c>
      <c r="I40" s="142"/>
      <c r="J40" s="142"/>
      <c r="K40" s="20">
        <f>F40*G40*H40</f>
        <v>300</v>
      </c>
    </row>
    <row r="41" spans="1:11" s="12" customFormat="1">
      <c r="A41" s="16"/>
      <c r="B41" s="139"/>
      <c r="C41" s="139"/>
      <c r="D41" s="148"/>
      <c r="E41" s="139"/>
      <c r="F41" s="142"/>
      <c r="G41" s="142"/>
      <c r="H41" s="142"/>
      <c r="I41" s="142"/>
      <c r="J41" s="142"/>
      <c r="K41" s="20"/>
    </row>
    <row r="42" spans="1:11" s="12" customFormat="1" ht="22.5">
      <c r="A42" s="16" t="s">
        <v>27</v>
      </c>
      <c r="B42" s="139">
        <v>93382</v>
      </c>
      <c r="C42" s="139" t="s">
        <v>9</v>
      </c>
      <c r="D42" s="147" t="s">
        <v>1206</v>
      </c>
      <c r="E42" s="139" t="s">
        <v>400</v>
      </c>
      <c r="F42" s="142"/>
      <c r="G42" s="142"/>
      <c r="H42" s="142"/>
      <c r="I42" s="142"/>
      <c r="J42" s="142"/>
      <c r="K42" s="21">
        <f>E48-E47-E46-E45</f>
        <v>339.05804999999998</v>
      </c>
    </row>
    <row r="43" spans="1:11" s="12" customFormat="1">
      <c r="A43" s="16"/>
      <c r="B43" s="139"/>
      <c r="C43" s="139"/>
      <c r="D43" s="147" t="s">
        <v>233</v>
      </c>
      <c r="E43" s="187"/>
      <c r="F43" s="158"/>
      <c r="G43" s="158"/>
      <c r="H43" s="158"/>
      <c r="I43" s="158"/>
      <c r="J43" s="158"/>
      <c r="K43" s="130"/>
    </row>
    <row r="44" spans="1:11" s="12" customFormat="1">
      <c r="A44" s="16"/>
      <c r="B44" s="139"/>
      <c r="C44" s="139"/>
      <c r="D44" s="147" t="s">
        <v>305</v>
      </c>
      <c r="E44" s="187"/>
      <c r="F44" s="158"/>
      <c r="G44" s="158"/>
      <c r="H44" s="158"/>
      <c r="I44" s="158"/>
      <c r="J44" s="158"/>
      <c r="K44" s="130"/>
    </row>
    <row r="45" spans="1:11" s="12" customFormat="1">
      <c r="A45" s="16"/>
      <c r="B45" s="139"/>
      <c r="C45" s="139"/>
      <c r="D45" s="431" t="s">
        <v>306</v>
      </c>
      <c r="E45" s="432">
        <f>K54*0.05</f>
        <v>1.62</v>
      </c>
      <c r="F45" s="188"/>
      <c r="G45" s="188"/>
      <c r="H45" s="188"/>
      <c r="I45" s="188"/>
      <c r="J45" s="188"/>
      <c r="K45" s="21"/>
    </row>
    <row r="46" spans="1:11" s="12" customFormat="1">
      <c r="A46" s="16"/>
      <c r="B46" s="139"/>
      <c r="C46" s="139"/>
      <c r="D46" s="431" t="s">
        <v>307</v>
      </c>
      <c r="E46" s="432">
        <f>K180</f>
        <v>8.3852000000000029</v>
      </c>
      <c r="F46" s="188"/>
      <c r="G46" s="188"/>
      <c r="H46" s="188"/>
      <c r="I46" s="188"/>
      <c r="J46" s="188"/>
      <c r="K46" s="21"/>
    </row>
    <row r="47" spans="1:11" s="12" customFormat="1">
      <c r="A47" s="16"/>
      <c r="B47" s="139"/>
      <c r="C47" s="139"/>
      <c r="D47" s="431" t="s">
        <v>308</v>
      </c>
      <c r="E47" s="432">
        <f>K57*0.5*0.2</f>
        <v>11.68675</v>
      </c>
      <c r="F47" s="188"/>
      <c r="G47" s="188"/>
      <c r="H47" s="188"/>
      <c r="I47" s="188"/>
      <c r="J47" s="188"/>
      <c r="K47" s="21"/>
    </row>
    <row r="48" spans="1:11" s="12" customFormat="1">
      <c r="A48" s="16"/>
      <c r="B48" s="139"/>
      <c r="C48" s="139"/>
      <c r="D48" s="394" t="s">
        <v>309</v>
      </c>
      <c r="E48" s="433">
        <f>K38</f>
        <v>360.75</v>
      </c>
      <c r="F48" s="188"/>
      <c r="G48" s="188"/>
      <c r="H48" s="188"/>
      <c r="I48" s="188"/>
      <c r="J48" s="188"/>
      <c r="K48" s="21"/>
    </row>
    <row r="49" spans="1:11" s="12" customFormat="1">
      <c r="A49" s="16"/>
      <c r="B49" s="139"/>
      <c r="C49" s="139"/>
      <c r="D49" s="148"/>
      <c r="E49" s="139"/>
      <c r="F49" s="142"/>
      <c r="G49" s="142"/>
      <c r="H49" s="142"/>
      <c r="I49" s="142"/>
      <c r="J49" s="142"/>
      <c r="K49" s="20"/>
    </row>
    <row r="50" spans="1:11" s="12" customFormat="1" ht="22.5">
      <c r="A50" s="15" t="s">
        <v>28</v>
      </c>
      <c r="B50" s="149">
        <v>101616</v>
      </c>
      <c r="C50" s="149" t="s">
        <v>9</v>
      </c>
      <c r="D50" s="150" t="s">
        <v>1207</v>
      </c>
      <c r="E50" s="149" t="s">
        <v>208</v>
      </c>
      <c r="F50" s="142"/>
      <c r="G50" s="142"/>
      <c r="H50" s="142"/>
      <c r="I50" s="142"/>
      <c r="J50" s="142"/>
      <c r="K50" s="21">
        <f>SUM(K51:K51)</f>
        <v>32.4</v>
      </c>
    </row>
    <row r="51" spans="1:11" s="12" customFormat="1">
      <c r="A51" s="15"/>
      <c r="B51" s="149"/>
      <c r="C51" s="149"/>
      <c r="D51" s="147" t="s">
        <v>233</v>
      </c>
      <c r="E51" s="139"/>
      <c r="F51" s="142">
        <v>1</v>
      </c>
      <c r="G51" s="142">
        <v>1.2</v>
      </c>
      <c r="H51" s="142"/>
      <c r="I51" s="142">
        <v>27</v>
      </c>
      <c r="J51" s="142"/>
      <c r="K51" s="20">
        <f t="shared" ref="K51" si="1">(F51*G51)*I51</f>
        <v>32.4</v>
      </c>
    </row>
    <row r="52" spans="1:11" s="12" customFormat="1">
      <c r="A52" s="15"/>
      <c r="B52" s="149"/>
      <c r="C52" s="149"/>
      <c r="D52" s="150"/>
      <c r="E52" s="149"/>
      <c r="F52" s="142"/>
      <c r="G52" s="142"/>
      <c r="H52" s="142"/>
      <c r="I52" s="142"/>
      <c r="J52" s="142"/>
      <c r="K52" s="20"/>
    </row>
    <row r="53" spans="1:11">
      <c r="A53" s="119" t="s">
        <v>29</v>
      </c>
      <c r="B53" s="176"/>
      <c r="C53" s="176"/>
      <c r="D53" s="177" t="s">
        <v>18</v>
      </c>
      <c r="E53" s="178"/>
      <c r="F53" s="175"/>
      <c r="G53" s="175"/>
      <c r="H53" s="175"/>
      <c r="I53" s="175"/>
      <c r="J53" s="175"/>
      <c r="K53" s="120"/>
    </row>
    <row r="54" spans="1:11" s="12" customFormat="1" ht="22.5">
      <c r="A54" s="16" t="s">
        <v>31</v>
      </c>
      <c r="B54" s="139">
        <v>95241</v>
      </c>
      <c r="C54" s="139" t="s">
        <v>9</v>
      </c>
      <c r="D54" s="147" t="s">
        <v>1208</v>
      </c>
      <c r="E54" s="139" t="s">
        <v>208</v>
      </c>
      <c r="F54" s="142"/>
      <c r="G54" s="142"/>
      <c r="H54" s="142"/>
      <c r="I54" s="142"/>
      <c r="J54" s="142"/>
      <c r="K54" s="21">
        <f>SUM(K55:K55)</f>
        <v>32.4</v>
      </c>
    </row>
    <row r="55" spans="1:11" s="12" customFormat="1">
      <c r="A55" s="16"/>
      <c r="B55" s="139"/>
      <c r="C55" s="139"/>
      <c r="D55" s="147" t="s">
        <v>1405</v>
      </c>
      <c r="E55" s="139"/>
      <c r="F55" s="142">
        <v>1</v>
      </c>
      <c r="G55" s="142">
        <v>1.2</v>
      </c>
      <c r="H55" s="142"/>
      <c r="I55" s="142">
        <v>27</v>
      </c>
      <c r="J55" s="142"/>
      <c r="K55" s="20">
        <f>F55*G55*I55</f>
        <v>32.4</v>
      </c>
    </row>
    <row r="56" spans="1:11" s="12" customFormat="1">
      <c r="A56" s="16"/>
      <c r="B56" s="139"/>
      <c r="C56" s="139"/>
      <c r="D56" s="147"/>
      <c r="E56" s="139"/>
      <c r="F56" s="142"/>
      <c r="G56" s="142"/>
      <c r="H56" s="142"/>
      <c r="I56" s="142"/>
      <c r="J56" s="142"/>
      <c r="K56" s="20"/>
    </row>
    <row r="57" spans="1:11" ht="33.75">
      <c r="A57" s="16" t="s">
        <v>32</v>
      </c>
      <c r="B57" s="139" t="s">
        <v>474</v>
      </c>
      <c r="C57" s="139" t="s">
        <v>133</v>
      </c>
      <c r="D57" s="165" t="s">
        <v>1209</v>
      </c>
      <c r="E57" s="139" t="s">
        <v>208</v>
      </c>
      <c r="F57" s="142"/>
      <c r="G57" s="142"/>
      <c r="H57" s="142"/>
      <c r="I57" s="142"/>
      <c r="J57" s="142"/>
      <c r="K57" s="21">
        <f>SUM(K58:K62)</f>
        <v>116.86749999999999</v>
      </c>
    </row>
    <row r="58" spans="1:11">
      <c r="A58" s="16"/>
      <c r="B58" s="139"/>
      <c r="C58" s="139"/>
      <c r="D58" s="147" t="s">
        <v>1510</v>
      </c>
      <c r="E58" s="149"/>
      <c r="F58" s="142">
        <v>5.54</v>
      </c>
      <c r="G58" s="142">
        <v>13.87</v>
      </c>
      <c r="H58" s="142">
        <v>0.5</v>
      </c>
      <c r="I58" s="142"/>
      <c r="J58" s="142"/>
      <c r="K58" s="20">
        <f>((2*F58)+(2*G58))*H58</f>
        <v>19.41</v>
      </c>
    </row>
    <row r="59" spans="1:11">
      <c r="A59" s="16"/>
      <c r="B59" s="139"/>
      <c r="C59" s="139"/>
      <c r="D59" s="147" t="s">
        <v>1511</v>
      </c>
      <c r="E59" s="149"/>
      <c r="F59" s="142" t="s">
        <v>141</v>
      </c>
      <c r="G59" s="142">
        <f>5.5+4.15+5.4</f>
        <v>15.05</v>
      </c>
      <c r="H59" s="142">
        <v>0.9</v>
      </c>
      <c r="I59" s="142"/>
      <c r="J59" s="142"/>
      <c r="K59" s="20">
        <f>G59*H59</f>
        <v>13.545000000000002</v>
      </c>
    </row>
    <row r="60" spans="1:11">
      <c r="A60" s="16"/>
      <c r="B60" s="429"/>
      <c r="C60" s="429"/>
      <c r="D60" s="421" t="s">
        <v>1512</v>
      </c>
      <c r="E60" s="430"/>
      <c r="F60" s="423" t="s">
        <v>141</v>
      </c>
      <c r="G60" s="423">
        <f>4.8+4.8+25.2</f>
        <v>34.799999999999997</v>
      </c>
      <c r="H60" s="423">
        <v>1.25</v>
      </c>
      <c r="I60" s="423"/>
      <c r="J60" s="423"/>
      <c r="K60" s="20">
        <f>G60*H60</f>
        <v>43.5</v>
      </c>
    </row>
    <row r="61" spans="1:11">
      <c r="A61" s="16"/>
      <c r="B61" s="429"/>
      <c r="C61" s="429"/>
      <c r="D61" s="421" t="s">
        <v>1513</v>
      </c>
      <c r="E61" s="430"/>
      <c r="F61" s="423" t="s">
        <v>141</v>
      </c>
      <c r="G61" s="423">
        <f>8.5+6.7+3</f>
        <v>18.2</v>
      </c>
      <c r="H61" s="423">
        <v>0.5</v>
      </c>
      <c r="I61" s="423"/>
      <c r="J61" s="423"/>
      <c r="K61" s="20">
        <f t="shared" ref="K61:K62" si="2">G61*H61</f>
        <v>9.1</v>
      </c>
    </row>
    <row r="62" spans="1:11">
      <c r="A62" s="16"/>
      <c r="B62" s="429"/>
      <c r="C62" s="429"/>
      <c r="D62" s="421" t="s">
        <v>1514</v>
      </c>
      <c r="E62" s="430"/>
      <c r="F62" s="423" t="s">
        <v>141</v>
      </c>
      <c r="G62" s="423">
        <f>8.4+10.15+6.5</f>
        <v>25.05</v>
      </c>
      <c r="H62" s="423">
        <v>1.25</v>
      </c>
      <c r="I62" s="423"/>
      <c r="J62" s="423"/>
      <c r="K62" s="20">
        <f t="shared" si="2"/>
        <v>31.3125</v>
      </c>
    </row>
    <row r="63" spans="1:11">
      <c r="A63" s="16"/>
      <c r="B63" s="139"/>
      <c r="C63" s="139"/>
      <c r="D63" s="150"/>
      <c r="E63" s="149"/>
      <c r="F63" s="142"/>
      <c r="G63" s="142"/>
      <c r="H63" s="142"/>
      <c r="I63" s="142"/>
      <c r="J63" s="142"/>
      <c r="K63" s="20"/>
    </row>
    <row r="64" spans="1:11" ht="22.5">
      <c r="A64" s="16" t="s">
        <v>249</v>
      </c>
      <c r="B64" s="139">
        <v>1506055</v>
      </c>
      <c r="C64" s="139" t="s">
        <v>280</v>
      </c>
      <c r="D64" s="150" t="s">
        <v>1210</v>
      </c>
      <c r="E64" s="139" t="s">
        <v>400</v>
      </c>
      <c r="F64" s="142"/>
      <c r="G64" s="142"/>
      <c r="H64" s="142"/>
      <c r="I64" s="142"/>
      <c r="J64" s="142"/>
      <c r="K64" s="21">
        <f>SUM(K65,K82,K111,K135)</f>
        <v>719.86947999999995</v>
      </c>
    </row>
    <row r="65" spans="1:11">
      <c r="A65" s="16"/>
      <c r="B65" s="139"/>
      <c r="C65" s="139"/>
      <c r="D65" s="394" t="s">
        <v>1414</v>
      </c>
      <c r="E65" s="139"/>
      <c r="F65" s="142"/>
      <c r="G65" s="142"/>
      <c r="H65" s="142"/>
      <c r="I65" s="142"/>
      <c r="J65" s="142"/>
      <c r="K65" s="21">
        <f>SUM(K66:K81)</f>
        <v>214.02406000000002</v>
      </c>
    </row>
    <row r="66" spans="1:11">
      <c r="A66" s="16"/>
      <c r="B66" s="395"/>
      <c r="C66" s="395"/>
      <c r="D66" s="396" t="s">
        <v>1409</v>
      </c>
      <c r="E66" s="395"/>
      <c r="F66" s="397"/>
      <c r="G66" s="397"/>
      <c r="H66" s="397"/>
      <c r="I66" s="397"/>
      <c r="J66" s="397"/>
      <c r="K66" s="20"/>
    </row>
    <row r="67" spans="1:11">
      <c r="A67" s="16"/>
      <c r="B67" s="395"/>
      <c r="C67" s="395"/>
      <c r="D67" s="396" t="s">
        <v>1407</v>
      </c>
      <c r="E67" s="395"/>
      <c r="F67" s="397">
        <v>1.8</v>
      </c>
      <c r="G67" s="397">
        <v>26.64</v>
      </c>
      <c r="H67" s="397">
        <v>0.5</v>
      </c>
      <c r="I67" s="397"/>
      <c r="J67" s="397"/>
      <c r="K67" s="20">
        <f>(F67*G67*H67)</f>
        <v>23.976000000000003</v>
      </c>
    </row>
    <row r="68" spans="1:11">
      <c r="A68" s="16"/>
      <c r="B68" s="395"/>
      <c r="C68" s="395"/>
      <c r="D68" s="396" t="s">
        <v>1408</v>
      </c>
      <c r="E68" s="395"/>
      <c r="F68" s="397">
        <v>0.7</v>
      </c>
      <c r="G68" s="397">
        <v>26.64</v>
      </c>
      <c r="H68" s="397">
        <v>3.22</v>
      </c>
      <c r="I68" s="397"/>
      <c r="J68" s="397"/>
      <c r="K68" s="20">
        <f>(F68*G68*H68)</f>
        <v>60.046559999999999</v>
      </c>
    </row>
    <row r="69" spans="1:11">
      <c r="A69" s="16"/>
      <c r="B69" s="395"/>
      <c r="C69" s="395"/>
      <c r="D69" s="396" t="s">
        <v>1406</v>
      </c>
      <c r="E69" s="395"/>
      <c r="F69" s="397"/>
      <c r="G69" s="397"/>
      <c r="H69" s="397"/>
      <c r="I69" s="397"/>
      <c r="J69" s="397"/>
      <c r="K69" s="20"/>
    </row>
    <row r="70" spans="1:11">
      <c r="A70" s="16"/>
      <c r="B70" s="395"/>
      <c r="C70" s="395"/>
      <c r="D70" s="396" t="s">
        <v>1407</v>
      </c>
      <c r="E70" s="395"/>
      <c r="F70" s="397">
        <v>1.5</v>
      </c>
      <c r="G70" s="397">
        <v>26.64</v>
      </c>
      <c r="H70" s="397">
        <v>0.5</v>
      </c>
      <c r="I70" s="397"/>
      <c r="J70" s="397"/>
      <c r="K70" s="20">
        <f>(F70*G70*H70)</f>
        <v>19.98</v>
      </c>
    </row>
    <row r="71" spans="1:11">
      <c r="A71" s="16"/>
      <c r="B71" s="395"/>
      <c r="C71" s="395"/>
      <c r="D71" s="396" t="s">
        <v>1408</v>
      </c>
      <c r="E71" s="395"/>
      <c r="F71" s="397">
        <v>0.8</v>
      </c>
      <c r="G71" s="397">
        <v>26.64</v>
      </c>
      <c r="H71" s="397">
        <v>0.5</v>
      </c>
      <c r="I71" s="397"/>
      <c r="J71" s="397"/>
      <c r="K71" s="20">
        <f>(F71*G71*H71)</f>
        <v>10.656000000000001</v>
      </c>
    </row>
    <row r="72" spans="1:11">
      <c r="A72" s="16"/>
      <c r="B72" s="395"/>
      <c r="C72" s="395"/>
      <c r="D72" s="396" t="s">
        <v>1410</v>
      </c>
      <c r="E72" s="395"/>
      <c r="F72" s="397">
        <v>0.6</v>
      </c>
      <c r="G72" s="397">
        <v>26.64</v>
      </c>
      <c r="H72" s="397">
        <v>0.5</v>
      </c>
      <c r="I72" s="397"/>
      <c r="J72" s="397"/>
      <c r="K72" s="20">
        <f>(F72*G72*H72)</f>
        <v>7.992</v>
      </c>
    </row>
    <row r="73" spans="1:11">
      <c r="A73" s="16"/>
      <c r="B73" s="395"/>
      <c r="C73" s="395"/>
      <c r="D73" s="396" t="s">
        <v>1411</v>
      </c>
      <c r="E73" s="395"/>
      <c r="F73" s="397">
        <v>0.4</v>
      </c>
      <c r="G73" s="397">
        <v>26.64</v>
      </c>
      <c r="H73" s="397">
        <v>0.5</v>
      </c>
      <c r="I73" s="397"/>
      <c r="J73" s="397"/>
      <c r="K73" s="20">
        <f>(F73*G73*H73)</f>
        <v>5.3280000000000003</v>
      </c>
    </row>
    <row r="74" spans="1:11">
      <c r="A74" s="16"/>
      <c r="B74" s="395"/>
      <c r="C74" s="395"/>
      <c r="D74" s="396" t="s">
        <v>1412</v>
      </c>
      <c r="E74" s="395"/>
      <c r="F74" s="397"/>
      <c r="G74" s="397"/>
      <c r="H74" s="397"/>
      <c r="I74" s="397"/>
      <c r="J74" s="397"/>
      <c r="K74" s="20"/>
    </row>
    <row r="75" spans="1:11">
      <c r="A75" s="16"/>
      <c r="B75" s="395"/>
      <c r="C75" s="395"/>
      <c r="D75" s="396" t="s">
        <v>1407</v>
      </c>
      <c r="E75" s="395"/>
      <c r="F75" s="397">
        <v>1.8</v>
      </c>
      <c r="G75" s="397">
        <v>19.100000000000001</v>
      </c>
      <c r="H75" s="397">
        <v>0.5</v>
      </c>
      <c r="I75" s="397"/>
      <c r="J75" s="397"/>
      <c r="K75" s="20">
        <f>(F75*G75*H75)</f>
        <v>17.190000000000001</v>
      </c>
    </row>
    <row r="76" spans="1:11">
      <c r="A76" s="16"/>
      <c r="B76" s="395"/>
      <c r="C76" s="395"/>
      <c r="D76" s="396" t="s">
        <v>1408</v>
      </c>
      <c r="E76" s="395"/>
      <c r="F76" s="397">
        <v>0.7</v>
      </c>
      <c r="G76" s="397">
        <v>19.100000000000001</v>
      </c>
      <c r="H76" s="397">
        <v>2.85</v>
      </c>
      <c r="I76" s="397"/>
      <c r="J76" s="397"/>
      <c r="K76" s="20">
        <f>(F76*G76*H76)</f>
        <v>38.104500000000002</v>
      </c>
    </row>
    <row r="77" spans="1:11">
      <c r="A77" s="16"/>
      <c r="B77" s="395"/>
      <c r="C77" s="395"/>
      <c r="D77" s="396" t="s">
        <v>1413</v>
      </c>
      <c r="E77" s="395"/>
      <c r="F77" s="397"/>
      <c r="G77" s="397"/>
      <c r="H77" s="397"/>
      <c r="I77" s="397"/>
      <c r="J77" s="397"/>
      <c r="K77" s="20"/>
    </row>
    <row r="78" spans="1:11">
      <c r="A78" s="16"/>
      <c r="B78" s="395"/>
      <c r="C78" s="395"/>
      <c r="D78" s="396" t="s">
        <v>1407</v>
      </c>
      <c r="E78" s="395"/>
      <c r="F78" s="397">
        <v>1.5</v>
      </c>
      <c r="G78" s="397">
        <v>19.100000000000001</v>
      </c>
      <c r="H78" s="397">
        <v>0.5</v>
      </c>
      <c r="I78" s="397"/>
      <c r="J78" s="397"/>
      <c r="K78" s="20">
        <f>(F78*G78*H78)</f>
        <v>14.325000000000001</v>
      </c>
    </row>
    <row r="79" spans="1:11">
      <c r="A79" s="16"/>
      <c r="B79" s="395"/>
      <c r="C79" s="395"/>
      <c r="D79" s="396" t="s">
        <v>1408</v>
      </c>
      <c r="E79" s="395"/>
      <c r="F79" s="397">
        <v>0.8</v>
      </c>
      <c r="G79" s="397">
        <v>19.100000000000001</v>
      </c>
      <c r="H79" s="397">
        <v>0.5</v>
      </c>
      <c r="I79" s="397"/>
      <c r="J79" s="397"/>
      <c r="K79" s="20">
        <f>(F79*G79*H79)</f>
        <v>7.6400000000000006</v>
      </c>
    </row>
    <row r="80" spans="1:11">
      <c r="A80" s="16"/>
      <c r="B80" s="395"/>
      <c r="C80" s="395"/>
      <c r="D80" s="396" t="s">
        <v>1410</v>
      </c>
      <c r="E80" s="395"/>
      <c r="F80" s="397">
        <v>0.6</v>
      </c>
      <c r="G80" s="397">
        <v>19.100000000000001</v>
      </c>
      <c r="H80" s="397">
        <v>0.5</v>
      </c>
      <c r="I80" s="397"/>
      <c r="J80" s="397"/>
      <c r="K80" s="20">
        <f>(F80*G80*H80)</f>
        <v>5.73</v>
      </c>
    </row>
    <row r="81" spans="1:11">
      <c r="A81" s="16"/>
      <c r="B81" s="395"/>
      <c r="C81" s="395"/>
      <c r="D81" s="396" t="s">
        <v>1411</v>
      </c>
      <c r="E81" s="395"/>
      <c r="F81" s="397">
        <v>0.4</v>
      </c>
      <c r="G81" s="397">
        <v>19.100000000000001</v>
      </c>
      <c r="H81" s="397">
        <v>0.4</v>
      </c>
      <c r="I81" s="397"/>
      <c r="J81" s="397"/>
      <c r="K81" s="20">
        <f>(F81*G81*H81)</f>
        <v>3.0560000000000005</v>
      </c>
    </row>
    <row r="82" spans="1:11">
      <c r="A82" s="16"/>
      <c r="B82" s="395"/>
      <c r="C82" s="395"/>
      <c r="D82" s="394" t="s">
        <v>1415</v>
      </c>
      <c r="E82" s="139"/>
      <c r="F82" s="142"/>
      <c r="G82" s="142"/>
      <c r="H82" s="142"/>
      <c r="I82" s="142"/>
      <c r="J82" s="142"/>
      <c r="K82" s="21">
        <f>SUM(K83:K110)</f>
        <v>321.23999999999995</v>
      </c>
    </row>
    <row r="83" spans="1:11">
      <c r="A83" s="16"/>
      <c r="B83" s="395"/>
      <c r="C83" s="395"/>
      <c r="D83" s="396" t="s">
        <v>1409</v>
      </c>
      <c r="E83" s="395"/>
      <c r="F83" s="397"/>
      <c r="G83" s="397"/>
      <c r="H83" s="397"/>
      <c r="I83" s="397"/>
      <c r="J83" s="397"/>
      <c r="K83" s="20"/>
    </row>
    <row r="84" spans="1:11">
      <c r="A84" s="16"/>
      <c r="B84" s="395"/>
      <c r="C84" s="395"/>
      <c r="D84" s="396" t="s">
        <v>1407</v>
      </c>
      <c r="E84" s="395"/>
      <c r="F84" s="397">
        <v>1.8</v>
      </c>
      <c r="G84" s="397">
        <v>16.96</v>
      </c>
      <c r="H84" s="397">
        <v>0.5</v>
      </c>
      <c r="I84" s="397"/>
      <c r="J84" s="397"/>
      <c r="K84" s="20">
        <f>(F84*G84*H84)</f>
        <v>15.264000000000001</v>
      </c>
    </row>
    <row r="85" spans="1:11">
      <c r="A85" s="16"/>
      <c r="B85" s="395"/>
      <c r="C85" s="395"/>
      <c r="D85" s="396" t="s">
        <v>1408</v>
      </c>
      <c r="E85" s="395"/>
      <c r="F85" s="397">
        <v>1.5</v>
      </c>
      <c r="G85" s="397">
        <v>16.96</v>
      </c>
      <c r="H85" s="397">
        <v>0.5</v>
      </c>
      <c r="I85" s="397"/>
      <c r="J85" s="397"/>
      <c r="K85" s="20">
        <f>(F85*G85*H85)</f>
        <v>12.72</v>
      </c>
    </row>
    <row r="86" spans="1:11">
      <c r="A86" s="16"/>
      <c r="B86" s="395"/>
      <c r="C86" s="395"/>
      <c r="D86" s="396" t="s">
        <v>1410</v>
      </c>
      <c r="E86" s="395"/>
      <c r="F86" s="397">
        <v>0.8</v>
      </c>
      <c r="G86" s="397">
        <v>16.96</v>
      </c>
      <c r="H86" s="397">
        <v>0.5</v>
      </c>
      <c r="I86" s="397"/>
      <c r="J86" s="397"/>
      <c r="K86" s="20">
        <f>(F86*G86*H86)</f>
        <v>6.7840000000000007</v>
      </c>
    </row>
    <row r="87" spans="1:11">
      <c r="A87" s="16"/>
      <c r="B87" s="395"/>
      <c r="C87" s="395"/>
      <c r="D87" s="396" t="s">
        <v>1411</v>
      </c>
      <c r="E87" s="395"/>
      <c r="F87" s="397">
        <v>0.6</v>
      </c>
      <c r="G87" s="397">
        <v>16.96</v>
      </c>
      <c r="H87" s="397">
        <v>0.5</v>
      </c>
      <c r="I87" s="397"/>
      <c r="J87" s="397"/>
      <c r="K87" s="20">
        <f>(F87*G87*H87)</f>
        <v>5.0880000000000001</v>
      </c>
    </row>
    <row r="88" spans="1:11">
      <c r="A88" s="16"/>
      <c r="B88" s="395"/>
      <c r="C88" s="395"/>
      <c r="D88" s="396" t="s">
        <v>1416</v>
      </c>
      <c r="E88" s="395"/>
      <c r="F88" s="397">
        <v>0.4</v>
      </c>
      <c r="G88" s="397">
        <v>16.96</v>
      </c>
      <c r="H88" s="397">
        <v>0.85</v>
      </c>
      <c r="I88" s="397"/>
      <c r="J88" s="397"/>
      <c r="K88" s="20">
        <f>(F88*G88*H88)</f>
        <v>5.7664000000000009</v>
      </c>
    </row>
    <row r="89" spans="1:11">
      <c r="A89" s="16"/>
      <c r="B89" s="395"/>
      <c r="C89" s="395"/>
      <c r="D89" s="396" t="s">
        <v>1406</v>
      </c>
      <c r="E89" s="395"/>
      <c r="F89" s="397"/>
      <c r="G89" s="397"/>
      <c r="H89" s="397"/>
      <c r="I89" s="397"/>
      <c r="J89" s="397"/>
      <c r="K89" s="20"/>
    </row>
    <row r="90" spans="1:11">
      <c r="A90" s="16"/>
      <c r="B90" s="395"/>
      <c r="C90" s="395"/>
      <c r="D90" s="396" t="s">
        <v>1407</v>
      </c>
      <c r="E90" s="395"/>
      <c r="F90" s="397">
        <v>1.8</v>
      </c>
      <c r="G90" s="397">
        <v>29.88</v>
      </c>
      <c r="H90" s="397">
        <v>0.5</v>
      </c>
      <c r="I90" s="397"/>
      <c r="J90" s="397"/>
      <c r="K90" s="20">
        <f>(F90*G90*H90)</f>
        <v>26.891999999999999</v>
      </c>
    </row>
    <row r="91" spans="1:11">
      <c r="A91" s="16"/>
      <c r="B91" s="395"/>
      <c r="C91" s="395"/>
      <c r="D91" s="396" t="s">
        <v>1408</v>
      </c>
      <c r="E91" s="395"/>
      <c r="F91" s="397">
        <v>1.5</v>
      </c>
      <c r="G91" s="397">
        <v>29.88</v>
      </c>
      <c r="H91" s="397">
        <v>0.5</v>
      </c>
      <c r="I91" s="397"/>
      <c r="J91" s="397"/>
      <c r="K91" s="20">
        <f>(F91*G91*H91)</f>
        <v>22.41</v>
      </c>
    </row>
    <row r="92" spans="1:11">
      <c r="A92" s="16"/>
      <c r="B92" s="395"/>
      <c r="C92" s="395"/>
      <c r="D92" s="396" t="s">
        <v>1410</v>
      </c>
      <c r="E92" s="395"/>
      <c r="F92" s="397">
        <v>0.8</v>
      </c>
      <c r="G92" s="397">
        <v>29.88</v>
      </c>
      <c r="H92" s="397">
        <v>0.5</v>
      </c>
      <c r="I92" s="397"/>
      <c r="J92" s="397"/>
      <c r="K92" s="20">
        <f>(F92*G92*H92)</f>
        <v>11.952</v>
      </c>
    </row>
    <row r="93" spans="1:11">
      <c r="A93" s="16"/>
      <c r="B93" s="395"/>
      <c r="C93" s="395"/>
      <c r="D93" s="396" t="s">
        <v>1411</v>
      </c>
      <c r="E93" s="395"/>
      <c r="F93" s="397">
        <v>0.6</v>
      </c>
      <c r="G93" s="397">
        <v>29.88</v>
      </c>
      <c r="H93" s="397">
        <v>0.5</v>
      </c>
      <c r="I93" s="397"/>
      <c r="J93" s="397"/>
      <c r="K93" s="20">
        <f>(F93*G93*H93)</f>
        <v>8.9639999999999986</v>
      </c>
    </row>
    <row r="94" spans="1:11">
      <c r="A94" s="16"/>
      <c r="B94" s="395"/>
      <c r="C94" s="395"/>
      <c r="D94" s="396" t="s">
        <v>1416</v>
      </c>
      <c r="E94" s="395"/>
      <c r="F94" s="397">
        <v>0.4</v>
      </c>
      <c r="G94" s="397">
        <v>29.88</v>
      </c>
      <c r="H94" s="397">
        <v>0.75</v>
      </c>
      <c r="I94" s="397"/>
      <c r="J94" s="397"/>
      <c r="K94" s="20">
        <f>(F94*G94*H94)</f>
        <v>8.9640000000000004</v>
      </c>
    </row>
    <row r="95" spans="1:11">
      <c r="A95" s="16"/>
      <c r="B95" s="395"/>
      <c r="C95" s="395"/>
      <c r="D95" s="396" t="s">
        <v>1412</v>
      </c>
      <c r="E95" s="395"/>
      <c r="F95" s="397"/>
      <c r="G95" s="397"/>
      <c r="H95" s="397"/>
      <c r="I95" s="397"/>
      <c r="J95" s="397"/>
      <c r="K95" s="20"/>
    </row>
    <row r="96" spans="1:11">
      <c r="A96" s="16"/>
      <c r="B96" s="395"/>
      <c r="C96" s="395"/>
      <c r="D96" s="396" t="s">
        <v>1407</v>
      </c>
      <c r="E96" s="395"/>
      <c r="F96" s="397">
        <v>1.8</v>
      </c>
      <c r="G96" s="397">
        <v>19.600000000000001</v>
      </c>
      <c r="H96" s="397">
        <v>0.5</v>
      </c>
      <c r="I96" s="397"/>
      <c r="J96" s="397"/>
      <c r="K96" s="20">
        <f>(F96*G96*H96)</f>
        <v>17.64</v>
      </c>
    </row>
    <row r="97" spans="1:11">
      <c r="A97" s="16"/>
      <c r="B97" s="395"/>
      <c r="C97" s="395"/>
      <c r="D97" s="396" t="s">
        <v>1408</v>
      </c>
      <c r="E97" s="395"/>
      <c r="F97" s="397">
        <v>0.7</v>
      </c>
      <c r="G97" s="397">
        <v>19.600000000000001</v>
      </c>
      <c r="H97" s="397">
        <v>2.4</v>
      </c>
      <c r="I97" s="397"/>
      <c r="J97" s="397"/>
      <c r="K97" s="20">
        <f>(F97*G97*H97)</f>
        <v>32.927999999999997</v>
      </c>
    </row>
    <row r="98" spans="1:11">
      <c r="A98" s="16"/>
      <c r="B98" s="395"/>
      <c r="C98" s="395"/>
      <c r="D98" s="396" t="s">
        <v>1417</v>
      </c>
      <c r="E98" s="395"/>
      <c r="F98" s="397"/>
      <c r="G98" s="397"/>
      <c r="H98" s="397"/>
      <c r="I98" s="397"/>
      <c r="J98" s="397"/>
      <c r="K98" s="20"/>
    </row>
    <row r="99" spans="1:11">
      <c r="A99" s="16"/>
      <c r="B99" s="395"/>
      <c r="C99" s="395"/>
      <c r="D99" s="396" t="s">
        <v>1407</v>
      </c>
      <c r="E99" s="395"/>
      <c r="F99" s="397">
        <v>1.8</v>
      </c>
      <c r="G99" s="397">
        <v>42.71</v>
      </c>
      <c r="H99" s="397">
        <v>0.5</v>
      </c>
      <c r="I99" s="397"/>
      <c r="J99" s="397"/>
      <c r="K99" s="20">
        <f>(F99*G99*H99)</f>
        <v>38.439</v>
      </c>
    </row>
    <row r="100" spans="1:11">
      <c r="A100" s="16"/>
      <c r="B100" s="395"/>
      <c r="C100" s="395"/>
      <c r="D100" s="396" t="s">
        <v>1408</v>
      </c>
      <c r="E100" s="395"/>
      <c r="F100" s="397">
        <v>1.5</v>
      </c>
      <c r="G100" s="397">
        <v>42.71</v>
      </c>
      <c r="H100" s="397">
        <v>0.5</v>
      </c>
      <c r="I100" s="397"/>
      <c r="J100" s="397"/>
      <c r="K100" s="20">
        <f>(F100*G100*H100)</f>
        <v>32.032499999999999</v>
      </c>
    </row>
    <row r="101" spans="1:11">
      <c r="A101" s="16"/>
      <c r="B101" s="395"/>
      <c r="C101" s="395"/>
      <c r="D101" s="396" t="s">
        <v>1410</v>
      </c>
      <c r="E101" s="395"/>
      <c r="F101" s="397">
        <v>0.8</v>
      </c>
      <c r="G101" s="397">
        <v>42.71</v>
      </c>
      <c r="H101" s="397">
        <v>0.5</v>
      </c>
      <c r="I101" s="397"/>
      <c r="J101" s="397"/>
      <c r="K101" s="20">
        <f>(F101*G101*H101)</f>
        <v>17.084</v>
      </c>
    </row>
    <row r="102" spans="1:11">
      <c r="A102" s="16"/>
      <c r="B102" s="395"/>
      <c r="C102" s="395"/>
      <c r="D102" s="396" t="s">
        <v>1411</v>
      </c>
      <c r="E102" s="395"/>
      <c r="F102" s="397">
        <v>0.6</v>
      </c>
      <c r="G102" s="397">
        <v>42.71</v>
      </c>
      <c r="H102" s="397">
        <v>0.5</v>
      </c>
      <c r="I102" s="397"/>
      <c r="J102" s="397"/>
      <c r="K102" s="20">
        <f>(F102*G102*H102)</f>
        <v>12.813000000000001</v>
      </c>
    </row>
    <row r="103" spans="1:11">
      <c r="A103" s="16"/>
      <c r="B103" s="395"/>
      <c r="C103" s="395"/>
      <c r="D103" s="396" t="s">
        <v>1416</v>
      </c>
      <c r="E103" s="395"/>
      <c r="F103" s="397">
        <v>0.4</v>
      </c>
      <c r="G103" s="397">
        <v>42.71</v>
      </c>
      <c r="H103" s="397">
        <v>0.75</v>
      </c>
      <c r="I103" s="397"/>
      <c r="J103" s="397"/>
      <c r="K103" s="20">
        <f>(F103*G103*H103)</f>
        <v>12.812999999999999</v>
      </c>
    </row>
    <row r="104" spans="1:11">
      <c r="A104" s="16"/>
      <c r="B104" s="395"/>
      <c r="C104" s="395"/>
      <c r="D104" s="396" t="s">
        <v>1418</v>
      </c>
      <c r="E104" s="395"/>
      <c r="F104" s="397"/>
      <c r="G104" s="397"/>
      <c r="H104" s="397"/>
      <c r="I104" s="397"/>
      <c r="J104" s="397"/>
      <c r="K104" s="20"/>
    </row>
    <row r="105" spans="1:11">
      <c r="A105" s="16"/>
      <c r="B105" s="395"/>
      <c r="C105" s="395"/>
      <c r="D105" s="396" t="s">
        <v>1407</v>
      </c>
      <c r="E105" s="395"/>
      <c r="F105" s="397">
        <v>1.8</v>
      </c>
      <c r="G105" s="397">
        <v>10.51</v>
      </c>
      <c r="H105" s="397">
        <v>0.5</v>
      </c>
      <c r="I105" s="397"/>
      <c r="J105" s="397"/>
      <c r="K105" s="20">
        <f t="shared" ref="K105:K110" si="3">(F105*G105*H105)</f>
        <v>9.4589999999999996</v>
      </c>
    </row>
    <row r="106" spans="1:11">
      <c r="A106" s="16"/>
      <c r="B106" s="395"/>
      <c r="C106" s="395"/>
      <c r="D106" s="396" t="s">
        <v>1408</v>
      </c>
      <c r="E106" s="395"/>
      <c r="F106" s="397">
        <v>1.5</v>
      </c>
      <c r="G106" s="397">
        <v>10.51</v>
      </c>
      <c r="H106" s="397">
        <v>0.5</v>
      </c>
      <c r="I106" s="397"/>
      <c r="J106" s="397"/>
      <c r="K106" s="20">
        <f t="shared" si="3"/>
        <v>7.8825000000000003</v>
      </c>
    </row>
    <row r="107" spans="1:11">
      <c r="A107" s="16"/>
      <c r="B107" s="395"/>
      <c r="C107" s="395"/>
      <c r="D107" s="396" t="s">
        <v>1410</v>
      </c>
      <c r="E107" s="395"/>
      <c r="F107" s="397">
        <v>1</v>
      </c>
      <c r="G107" s="397">
        <v>10.51</v>
      </c>
      <c r="H107" s="397">
        <v>0.5</v>
      </c>
      <c r="I107" s="397"/>
      <c r="J107" s="397"/>
      <c r="K107" s="20">
        <f t="shared" si="3"/>
        <v>5.2549999999999999</v>
      </c>
    </row>
    <row r="108" spans="1:11">
      <c r="A108" s="16"/>
      <c r="B108" s="395"/>
      <c r="C108" s="395"/>
      <c r="D108" s="396" t="s">
        <v>1411</v>
      </c>
      <c r="E108" s="395"/>
      <c r="F108" s="397">
        <v>0.8</v>
      </c>
      <c r="G108" s="397">
        <v>10.51</v>
      </c>
      <c r="H108" s="397">
        <v>0.5</v>
      </c>
      <c r="I108" s="397"/>
      <c r="J108" s="397"/>
      <c r="K108" s="20">
        <f t="shared" si="3"/>
        <v>4.2039999999999997</v>
      </c>
    </row>
    <row r="109" spans="1:11">
      <c r="A109" s="16"/>
      <c r="B109" s="395"/>
      <c r="C109" s="395"/>
      <c r="D109" s="396" t="s">
        <v>1416</v>
      </c>
      <c r="E109" s="395"/>
      <c r="F109" s="397">
        <v>0.6</v>
      </c>
      <c r="G109" s="397">
        <v>10.51</v>
      </c>
      <c r="H109" s="397">
        <v>0.5</v>
      </c>
      <c r="I109" s="397"/>
      <c r="J109" s="397"/>
      <c r="K109" s="20">
        <f t="shared" si="3"/>
        <v>3.153</v>
      </c>
    </row>
    <row r="110" spans="1:11">
      <c r="A110" s="16"/>
      <c r="B110" s="395"/>
      <c r="C110" s="395"/>
      <c r="D110" s="396" t="s">
        <v>1419</v>
      </c>
      <c r="E110" s="395"/>
      <c r="F110" s="397">
        <v>0.4</v>
      </c>
      <c r="G110" s="397">
        <v>10.51</v>
      </c>
      <c r="H110" s="397">
        <v>0.65</v>
      </c>
      <c r="I110" s="397"/>
      <c r="J110" s="397"/>
      <c r="K110" s="20">
        <f t="shared" si="3"/>
        <v>2.7326000000000001</v>
      </c>
    </row>
    <row r="111" spans="1:11">
      <c r="A111" s="16"/>
      <c r="B111" s="395"/>
      <c r="C111" s="395"/>
      <c r="D111" s="394" t="s">
        <v>1420</v>
      </c>
      <c r="E111" s="211"/>
      <c r="F111" s="188"/>
      <c r="G111" s="188"/>
      <c r="H111" s="188"/>
      <c r="I111" s="188"/>
      <c r="J111" s="188"/>
      <c r="K111" s="21">
        <f>SUM(K112:K134)</f>
        <v>152.61042</v>
      </c>
    </row>
    <row r="112" spans="1:11">
      <c r="A112" s="16"/>
      <c r="B112" s="395"/>
      <c r="C112" s="395"/>
      <c r="D112" s="396" t="s">
        <v>1409</v>
      </c>
      <c r="E112" s="395"/>
      <c r="F112" s="397"/>
      <c r="G112" s="397"/>
      <c r="H112" s="397"/>
      <c r="I112" s="397"/>
      <c r="J112" s="397"/>
      <c r="K112" s="20"/>
    </row>
    <row r="113" spans="1:11">
      <c r="A113" s="16"/>
      <c r="B113" s="395"/>
      <c r="C113" s="395"/>
      <c r="D113" s="396" t="s">
        <v>1407</v>
      </c>
      <c r="E113" s="395"/>
      <c r="F113" s="397">
        <v>1.5</v>
      </c>
      <c r="G113" s="397">
        <v>16.39</v>
      </c>
      <c r="H113" s="397">
        <v>0.5</v>
      </c>
      <c r="I113" s="397"/>
      <c r="J113" s="397"/>
      <c r="K113" s="20">
        <f>(F113*G113*H113)</f>
        <v>12.2925</v>
      </c>
    </row>
    <row r="114" spans="1:11">
      <c r="A114" s="16"/>
      <c r="B114" s="395"/>
      <c r="C114" s="395"/>
      <c r="D114" s="396" t="s">
        <v>1408</v>
      </c>
      <c r="E114" s="395"/>
      <c r="F114" s="397">
        <v>1</v>
      </c>
      <c r="G114" s="397">
        <v>16.39</v>
      </c>
      <c r="H114" s="397">
        <v>0.5</v>
      </c>
      <c r="I114" s="397"/>
      <c r="J114" s="397"/>
      <c r="K114" s="20">
        <f>(F114*G114*H114)</f>
        <v>8.1950000000000003</v>
      </c>
    </row>
    <row r="115" spans="1:11">
      <c r="A115" s="16"/>
      <c r="B115" s="395"/>
      <c r="C115" s="395"/>
      <c r="D115" s="396" t="s">
        <v>1410</v>
      </c>
      <c r="E115" s="395"/>
      <c r="F115" s="397">
        <v>0.8</v>
      </c>
      <c r="G115" s="397">
        <v>16.39</v>
      </c>
      <c r="H115" s="397">
        <v>0.5</v>
      </c>
      <c r="I115" s="397"/>
      <c r="J115" s="397"/>
      <c r="K115" s="20">
        <f>(F115*G115*H115)</f>
        <v>6.5560000000000009</v>
      </c>
    </row>
    <row r="116" spans="1:11">
      <c r="A116" s="16"/>
      <c r="B116" s="395"/>
      <c r="C116" s="395"/>
      <c r="D116" s="396" t="s">
        <v>1411</v>
      </c>
      <c r="E116" s="395"/>
      <c r="F116" s="397">
        <v>0.6</v>
      </c>
      <c r="G116" s="397">
        <v>16.39</v>
      </c>
      <c r="H116" s="397">
        <v>0.5</v>
      </c>
      <c r="I116" s="397"/>
      <c r="J116" s="397"/>
      <c r="K116" s="20">
        <f>(F116*G116*H116)</f>
        <v>4.9169999999999998</v>
      </c>
    </row>
    <row r="117" spans="1:11">
      <c r="A117" s="16"/>
      <c r="B117" s="395"/>
      <c r="C117" s="395"/>
      <c r="D117" s="396" t="s">
        <v>1416</v>
      </c>
      <c r="E117" s="395"/>
      <c r="F117" s="397">
        <v>0.4</v>
      </c>
      <c r="G117" s="397">
        <v>16.39</v>
      </c>
      <c r="H117" s="397">
        <v>0.56999999999999995</v>
      </c>
      <c r="I117" s="397"/>
      <c r="J117" s="397"/>
      <c r="K117" s="20">
        <f>(F117*G117*H117)</f>
        <v>3.73692</v>
      </c>
    </row>
    <row r="118" spans="1:11">
      <c r="A118" s="16"/>
      <c r="B118" s="395"/>
      <c r="C118" s="395"/>
      <c r="D118" s="396" t="s">
        <v>1406</v>
      </c>
      <c r="E118" s="395"/>
      <c r="F118" s="397"/>
      <c r="G118" s="397"/>
      <c r="H118" s="397"/>
      <c r="I118" s="397"/>
      <c r="J118" s="397"/>
      <c r="K118" s="20"/>
    </row>
    <row r="119" spans="1:11">
      <c r="A119" s="16"/>
      <c r="B119" s="395"/>
      <c r="C119" s="395"/>
      <c r="D119" s="396" t="s">
        <v>1407</v>
      </c>
      <c r="E119" s="395"/>
      <c r="F119" s="397">
        <v>1.8</v>
      </c>
      <c r="G119" s="397">
        <v>23.93</v>
      </c>
      <c r="H119" s="397">
        <v>0.5</v>
      </c>
      <c r="I119" s="397"/>
      <c r="J119" s="397"/>
      <c r="K119" s="20">
        <f t="shared" ref="K119:K124" si="4">(F119*G119*H119)</f>
        <v>21.536999999999999</v>
      </c>
    </row>
    <row r="120" spans="1:11">
      <c r="A120" s="16"/>
      <c r="B120" s="395"/>
      <c r="C120" s="395"/>
      <c r="D120" s="396" t="s">
        <v>1408</v>
      </c>
      <c r="E120" s="395"/>
      <c r="F120" s="397">
        <v>1.5</v>
      </c>
      <c r="G120" s="397">
        <v>23.93</v>
      </c>
      <c r="H120" s="397">
        <v>0.5</v>
      </c>
      <c r="I120" s="397"/>
      <c r="J120" s="397"/>
      <c r="K120" s="20">
        <f t="shared" si="4"/>
        <v>17.947499999999998</v>
      </c>
    </row>
    <row r="121" spans="1:11">
      <c r="A121" s="16"/>
      <c r="B121" s="395"/>
      <c r="C121" s="395"/>
      <c r="D121" s="396" t="s">
        <v>1410</v>
      </c>
      <c r="E121" s="395"/>
      <c r="F121" s="397">
        <v>1</v>
      </c>
      <c r="G121" s="397">
        <v>23.93</v>
      </c>
      <c r="H121" s="397">
        <v>0.5</v>
      </c>
      <c r="I121" s="397"/>
      <c r="J121" s="397"/>
      <c r="K121" s="20">
        <f t="shared" si="4"/>
        <v>11.965</v>
      </c>
    </row>
    <row r="122" spans="1:11">
      <c r="A122" s="16"/>
      <c r="B122" s="395"/>
      <c r="C122" s="395"/>
      <c r="D122" s="396" t="s">
        <v>1411</v>
      </c>
      <c r="E122" s="395"/>
      <c r="F122" s="397">
        <v>0.8</v>
      </c>
      <c r="G122" s="397">
        <v>23.93</v>
      </c>
      <c r="H122" s="397">
        <v>0.5</v>
      </c>
      <c r="I122" s="397"/>
      <c r="J122" s="397"/>
      <c r="K122" s="20">
        <f t="shared" si="4"/>
        <v>9.572000000000001</v>
      </c>
    </row>
    <row r="123" spans="1:11">
      <c r="A123" s="16"/>
      <c r="B123" s="395"/>
      <c r="C123" s="395"/>
      <c r="D123" s="396" t="s">
        <v>1416</v>
      </c>
      <c r="E123" s="395"/>
      <c r="F123" s="397">
        <v>0.6</v>
      </c>
      <c r="G123" s="397">
        <v>23.93</v>
      </c>
      <c r="H123" s="397">
        <v>0.5</v>
      </c>
      <c r="I123" s="397"/>
      <c r="J123" s="397"/>
      <c r="K123" s="20">
        <f t="shared" si="4"/>
        <v>7.1789999999999994</v>
      </c>
    </row>
    <row r="124" spans="1:11">
      <c r="A124" s="16"/>
      <c r="B124" s="395"/>
      <c r="C124" s="395"/>
      <c r="D124" s="396" t="s">
        <v>1419</v>
      </c>
      <c r="E124" s="395"/>
      <c r="F124" s="397">
        <v>0.4</v>
      </c>
      <c r="G124" s="397">
        <v>23.93</v>
      </c>
      <c r="H124" s="397">
        <v>0.5</v>
      </c>
      <c r="I124" s="397"/>
      <c r="J124" s="397"/>
      <c r="K124" s="20">
        <f t="shared" si="4"/>
        <v>4.7860000000000005</v>
      </c>
    </row>
    <row r="125" spans="1:11">
      <c r="A125" s="16"/>
      <c r="B125" s="395"/>
      <c r="C125" s="395"/>
      <c r="D125" s="396" t="s">
        <v>1417</v>
      </c>
      <c r="E125" s="395"/>
      <c r="F125" s="397"/>
      <c r="G125" s="397"/>
      <c r="H125" s="397"/>
      <c r="I125" s="397"/>
      <c r="J125" s="397"/>
      <c r="K125" s="20"/>
    </row>
    <row r="126" spans="1:11">
      <c r="A126" s="16"/>
      <c r="B126" s="395"/>
      <c r="C126" s="395"/>
      <c r="D126" s="396" t="s">
        <v>1407</v>
      </c>
      <c r="E126" s="395"/>
      <c r="F126" s="397">
        <v>0.8</v>
      </c>
      <c r="G126" s="397">
        <v>23.7</v>
      </c>
      <c r="H126" s="397">
        <v>0.5</v>
      </c>
      <c r="I126" s="397"/>
      <c r="J126" s="397"/>
      <c r="K126" s="20">
        <f>(F126*G126*H126)</f>
        <v>9.48</v>
      </c>
    </row>
    <row r="127" spans="1:11">
      <c r="A127" s="16"/>
      <c r="B127" s="395"/>
      <c r="C127" s="395"/>
      <c r="D127" s="396" t="s">
        <v>1408</v>
      </c>
      <c r="E127" s="395"/>
      <c r="F127" s="397">
        <v>0.6</v>
      </c>
      <c r="G127" s="397">
        <v>23.7</v>
      </c>
      <c r="H127" s="397">
        <v>0.5</v>
      </c>
      <c r="I127" s="397"/>
      <c r="J127" s="397"/>
      <c r="K127" s="20">
        <f>(F127*G127*H127)</f>
        <v>7.1099999999999994</v>
      </c>
    </row>
    <row r="128" spans="1:11">
      <c r="A128" s="16"/>
      <c r="B128" s="395"/>
      <c r="C128" s="395"/>
      <c r="D128" s="396" t="s">
        <v>1410</v>
      </c>
      <c r="E128" s="395"/>
      <c r="F128" s="397">
        <v>0.4</v>
      </c>
      <c r="G128" s="397">
        <v>23.7</v>
      </c>
      <c r="H128" s="397">
        <v>0.5</v>
      </c>
      <c r="I128" s="397"/>
      <c r="J128" s="397"/>
      <c r="K128" s="20">
        <f>(F128*G128*H128)</f>
        <v>4.74</v>
      </c>
    </row>
    <row r="129" spans="1:11">
      <c r="A129" s="16"/>
      <c r="B129" s="395"/>
      <c r="C129" s="395"/>
      <c r="D129" s="396" t="s">
        <v>1418</v>
      </c>
      <c r="E129" s="395"/>
      <c r="F129" s="397"/>
      <c r="G129" s="397"/>
      <c r="H129" s="397"/>
      <c r="I129" s="397"/>
      <c r="J129" s="397"/>
      <c r="K129" s="20"/>
    </row>
    <row r="130" spans="1:11">
      <c r="A130" s="16"/>
      <c r="B130" s="395"/>
      <c r="C130" s="395"/>
      <c r="D130" s="396" t="s">
        <v>1407</v>
      </c>
      <c r="E130" s="395"/>
      <c r="F130" s="397">
        <v>1.5</v>
      </c>
      <c r="G130" s="397">
        <v>10.51</v>
      </c>
      <c r="H130" s="397">
        <v>0.5</v>
      </c>
      <c r="I130" s="397"/>
      <c r="J130" s="397"/>
      <c r="K130" s="20">
        <f>(F130*G130*H130)</f>
        <v>7.8825000000000003</v>
      </c>
    </row>
    <row r="131" spans="1:11">
      <c r="A131" s="16"/>
      <c r="B131" s="395"/>
      <c r="C131" s="395"/>
      <c r="D131" s="396" t="s">
        <v>1408</v>
      </c>
      <c r="E131" s="395"/>
      <c r="F131" s="397">
        <v>1</v>
      </c>
      <c r="G131" s="397">
        <v>10.51</v>
      </c>
      <c r="H131" s="397">
        <v>0.5</v>
      </c>
      <c r="I131" s="397"/>
      <c r="J131" s="397"/>
      <c r="K131" s="20">
        <f>(F131*G131*H131)</f>
        <v>5.2549999999999999</v>
      </c>
    </row>
    <row r="132" spans="1:11">
      <c r="A132" s="16"/>
      <c r="B132" s="395"/>
      <c r="C132" s="395"/>
      <c r="D132" s="396" t="s">
        <v>1410</v>
      </c>
      <c r="E132" s="395"/>
      <c r="F132" s="397">
        <v>0.8</v>
      </c>
      <c r="G132" s="397">
        <v>10.51</v>
      </c>
      <c r="H132" s="397">
        <v>0.5</v>
      </c>
      <c r="I132" s="397"/>
      <c r="J132" s="397"/>
      <c r="K132" s="20">
        <f>(F132*G132*H132)</f>
        <v>4.2039999999999997</v>
      </c>
    </row>
    <row r="133" spans="1:11">
      <c r="A133" s="16"/>
      <c r="B133" s="395"/>
      <c r="C133" s="395"/>
      <c r="D133" s="396" t="s">
        <v>1411</v>
      </c>
      <c r="E133" s="395"/>
      <c r="F133" s="397">
        <v>0.6</v>
      </c>
      <c r="G133" s="397">
        <v>10.51</v>
      </c>
      <c r="H133" s="397">
        <v>0.5</v>
      </c>
      <c r="I133" s="397"/>
      <c r="J133" s="397"/>
      <c r="K133" s="20">
        <f>(F133*G133*H133)</f>
        <v>3.153</v>
      </c>
    </row>
    <row r="134" spans="1:11">
      <c r="A134" s="16"/>
      <c r="B134" s="395"/>
      <c r="C134" s="395"/>
      <c r="D134" s="396" t="s">
        <v>1416</v>
      </c>
      <c r="E134" s="395"/>
      <c r="F134" s="397">
        <v>0.4</v>
      </c>
      <c r="G134" s="397">
        <v>10.51</v>
      </c>
      <c r="H134" s="397">
        <v>0.5</v>
      </c>
      <c r="I134" s="397"/>
      <c r="J134" s="397"/>
      <c r="K134" s="20">
        <f>(F134*G134*H134)</f>
        <v>2.1019999999999999</v>
      </c>
    </row>
    <row r="135" spans="1:11">
      <c r="A135" s="16"/>
      <c r="B135" s="395"/>
      <c r="C135" s="395"/>
      <c r="D135" s="394" t="s">
        <v>1421</v>
      </c>
      <c r="E135" s="398"/>
      <c r="F135" s="399"/>
      <c r="G135" s="399"/>
      <c r="H135" s="399"/>
      <c r="I135" s="399"/>
      <c r="J135" s="399"/>
      <c r="K135" s="21">
        <f>SUM(K136:K144)</f>
        <v>31.994999999999997</v>
      </c>
    </row>
    <row r="136" spans="1:11">
      <c r="A136" s="16"/>
      <c r="B136" s="395"/>
      <c r="C136" s="395"/>
      <c r="D136" s="396" t="s">
        <v>1406</v>
      </c>
      <c r="E136" s="395"/>
      <c r="F136" s="397"/>
      <c r="G136" s="397"/>
      <c r="H136" s="397"/>
      <c r="I136" s="397"/>
      <c r="J136" s="397"/>
      <c r="K136" s="20"/>
    </row>
    <row r="137" spans="1:11">
      <c r="A137" s="16"/>
      <c r="B137" s="395"/>
      <c r="C137" s="395"/>
      <c r="D137" s="396" t="s">
        <v>1407</v>
      </c>
      <c r="E137" s="395"/>
      <c r="F137" s="397">
        <v>1.5</v>
      </c>
      <c r="G137" s="397">
        <v>6.18</v>
      </c>
      <c r="H137" s="397">
        <v>0.5</v>
      </c>
      <c r="I137" s="397"/>
      <c r="J137" s="397"/>
      <c r="K137" s="20">
        <f>(F137*G137*H137)</f>
        <v>4.6349999999999998</v>
      </c>
    </row>
    <row r="138" spans="1:11">
      <c r="A138" s="16"/>
      <c r="B138" s="395"/>
      <c r="C138" s="395"/>
      <c r="D138" s="396" t="s">
        <v>1408</v>
      </c>
      <c r="E138" s="395"/>
      <c r="F138" s="397">
        <v>0.8</v>
      </c>
      <c r="G138" s="397">
        <v>6.18</v>
      </c>
      <c r="H138" s="397">
        <v>0.5</v>
      </c>
      <c r="I138" s="397"/>
      <c r="J138" s="397"/>
      <c r="K138" s="20">
        <f>(F138*G138*H138)</f>
        <v>2.472</v>
      </c>
    </row>
    <row r="139" spans="1:11">
      <c r="A139" s="16"/>
      <c r="B139" s="395"/>
      <c r="C139" s="395"/>
      <c r="D139" s="396" t="s">
        <v>1410</v>
      </c>
      <c r="E139" s="395"/>
      <c r="F139" s="397">
        <v>0.6</v>
      </c>
      <c r="G139" s="397">
        <v>6.18</v>
      </c>
      <c r="H139" s="397">
        <v>0.5</v>
      </c>
      <c r="I139" s="397"/>
      <c r="J139" s="397"/>
      <c r="K139" s="20">
        <f>(F139*G139*H139)</f>
        <v>1.8539999999999999</v>
      </c>
    </row>
    <row r="140" spans="1:11">
      <c r="A140" s="16"/>
      <c r="B140" s="395"/>
      <c r="C140" s="395"/>
      <c r="D140" s="396" t="s">
        <v>1411</v>
      </c>
      <c r="E140" s="395"/>
      <c r="F140" s="397">
        <v>0.4</v>
      </c>
      <c r="G140" s="397">
        <v>6.18</v>
      </c>
      <c r="H140" s="397">
        <v>0.75</v>
      </c>
      <c r="I140" s="397"/>
      <c r="J140" s="397"/>
      <c r="K140" s="20">
        <f>(F140*G140*H140)</f>
        <v>1.8540000000000001</v>
      </c>
    </row>
    <row r="141" spans="1:11">
      <c r="A141" s="16"/>
      <c r="B141" s="395"/>
      <c r="C141" s="395"/>
      <c r="D141" s="396" t="s">
        <v>1413</v>
      </c>
      <c r="E141" s="395"/>
      <c r="F141" s="397"/>
      <c r="G141" s="397"/>
      <c r="H141" s="397"/>
      <c r="I141" s="397"/>
      <c r="J141" s="397"/>
      <c r="K141" s="20"/>
    </row>
    <row r="142" spans="1:11">
      <c r="A142" s="16"/>
      <c r="B142" s="395"/>
      <c r="C142" s="395"/>
      <c r="D142" s="396" t="s">
        <v>1407</v>
      </c>
      <c r="E142" s="395"/>
      <c r="F142" s="397">
        <v>1</v>
      </c>
      <c r="G142" s="397">
        <v>21.18</v>
      </c>
      <c r="H142" s="397">
        <v>0.5</v>
      </c>
      <c r="I142" s="397"/>
      <c r="J142" s="397"/>
      <c r="K142" s="20">
        <f>(F142*G142*H142)</f>
        <v>10.59</v>
      </c>
    </row>
    <row r="143" spans="1:11">
      <c r="A143" s="16"/>
      <c r="B143" s="395"/>
      <c r="C143" s="395"/>
      <c r="D143" s="396" t="s">
        <v>1408</v>
      </c>
      <c r="E143" s="395"/>
      <c r="F143" s="397">
        <v>0.6</v>
      </c>
      <c r="G143" s="397">
        <v>21.18</v>
      </c>
      <c r="H143" s="397">
        <v>0.5</v>
      </c>
      <c r="I143" s="397"/>
      <c r="J143" s="397"/>
      <c r="K143" s="20">
        <f>(F143*G143*H143)</f>
        <v>6.3540000000000001</v>
      </c>
    </row>
    <row r="144" spans="1:11">
      <c r="A144" s="16"/>
      <c r="B144" s="395"/>
      <c r="C144" s="395"/>
      <c r="D144" s="396" t="s">
        <v>1410</v>
      </c>
      <c r="E144" s="395"/>
      <c r="F144" s="397">
        <v>0.4</v>
      </c>
      <c r="G144" s="397">
        <v>21.18</v>
      </c>
      <c r="H144" s="397">
        <v>0.5</v>
      </c>
      <c r="I144" s="397"/>
      <c r="J144" s="397"/>
      <c r="K144" s="20">
        <f>(F144*G144*H144)</f>
        <v>4.2359999999999998</v>
      </c>
    </row>
    <row r="145" spans="1:11" s="12" customFormat="1">
      <c r="A145" s="16"/>
      <c r="B145" s="139"/>
      <c r="C145" s="139"/>
      <c r="D145" s="147"/>
      <c r="E145" s="139"/>
      <c r="F145" s="142"/>
      <c r="G145" s="142"/>
      <c r="H145" s="142"/>
      <c r="I145" s="142"/>
      <c r="J145" s="142"/>
      <c r="K145" s="20"/>
    </row>
    <row r="146" spans="1:11" ht="33.75">
      <c r="A146" s="16" t="s">
        <v>250</v>
      </c>
      <c r="B146" s="140">
        <v>96396</v>
      </c>
      <c r="C146" s="139" t="s">
        <v>9</v>
      </c>
      <c r="D146" s="147" t="s">
        <v>1211</v>
      </c>
      <c r="E146" s="139" t="s">
        <v>400</v>
      </c>
      <c r="F146" s="156"/>
      <c r="G146" s="156"/>
      <c r="H146" s="156"/>
      <c r="I146" s="156"/>
      <c r="J146" s="156"/>
      <c r="K146" s="27">
        <f>K147</f>
        <v>178.06500000000003</v>
      </c>
    </row>
    <row r="147" spans="1:11" ht="22.5">
      <c r="A147" s="16"/>
      <c r="B147" s="140"/>
      <c r="C147" s="139"/>
      <c r="D147" s="147" t="s">
        <v>1374</v>
      </c>
      <c r="E147" s="139"/>
      <c r="F147" s="189" t="s">
        <v>401</v>
      </c>
      <c r="G147" s="156">
        <v>1780.65</v>
      </c>
      <c r="H147" s="142">
        <v>0.1</v>
      </c>
      <c r="I147" s="142"/>
      <c r="J147" s="156"/>
      <c r="K147" s="26">
        <f>G147*H147</f>
        <v>178.06500000000003</v>
      </c>
    </row>
    <row r="148" spans="1:11">
      <c r="A148" s="16"/>
      <c r="B148" s="139"/>
      <c r="C148" s="139"/>
      <c r="D148" s="150"/>
      <c r="E148" s="163"/>
      <c r="F148" s="156"/>
      <c r="G148" s="156"/>
      <c r="H148" s="142"/>
      <c r="I148" s="142"/>
      <c r="J148" s="156"/>
      <c r="K148" s="26"/>
    </row>
    <row r="149" spans="1:11" ht="22.5">
      <c r="A149" s="16" t="s">
        <v>251</v>
      </c>
      <c r="B149" s="139">
        <v>97087</v>
      </c>
      <c r="C149" s="139" t="s">
        <v>9</v>
      </c>
      <c r="D149" s="147" t="s">
        <v>1212</v>
      </c>
      <c r="E149" s="139" t="s">
        <v>208</v>
      </c>
      <c r="F149" s="156"/>
      <c r="G149" s="156"/>
      <c r="H149" s="156"/>
      <c r="I149" s="156"/>
      <c r="J149" s="156"/>
      <c r="K149" s="27">
        <f>SUM(K150:K150)</f>
        <v>1780.65</v>
      </c>
    </row>
    <row r="150" spans="1:11" ht="22.5">
      <c r="A150" s="16"/>
      <c r="B150" s="139"/>
      <c r="C150" s="139"/>
      <c r="D150" s="147" t="s">
        <v>1374</v>
      </c>
      <c r="E150" s="139"/>
      <c r="F150" s="189" t="s">
        <v>401</v>
      </c>
      <c r="G150" s="156">
        <v>1780.65</v>
      </c>
      <c r="H150" s="142"/>
      <c r="I150" s="142"/>
      <c r="J150" s="156"/>
      <c r="K150" s="26">
        <f>G150</f>
        <v>1780.65</v>
      </c>
    </row>
    <row r="151" spans="1:11">
      <c r="A151" s="16"/>
      <c r="B151" s="139"/>
      <c r="C151" s="139"/>
      <c r="D151" s="150"/>
      <c r="E151" s="163"/>
      <c r="F151" s="156"/>
      <c r="G151" s="156"/>
      <c r="H151" s="142"/>
      <c r="I151" s="142"/>
      <c r="J151" s="156"/>
      <c r="K151" s="26"/>
    </row>
    <row r="152" spans="1:11" ht="22.5">
      <c r="A152" s="16" t="s">
        <v>252</v>
      </c>
      <c r="B152" s="139">
        <v>97086</v>
      </c>
      <c r="C152" s="139" t="s">
        <v>9</v>
      </c>
      <c r="D152" s="147" t="s">
        <v>1213</v>
      </c>
      <c r="E152" s="139" t="s">
        <v>208</v>
      </c>
      <c r="F152" s="156"/>
      <c r="G152" s="156"/>
      <c r="H152" s="156"/>
      <c r="I152" s="156"/>
      <c r="J152" s="156"/>
      <c r="K152" s="27">
        <f>SUM(K153:K153)</f>
        <v>25.82</v>
      </c>
    </row>
    <row r="153" spans="1:11" ht="22.5">
      <c r="A153" s="16"/>
      <c r="B153" s="139"/>
      <c r="C153" s="139"/>
      <c r="D153" s="147" t="s">
        <v>311</v>
      </c>
      <c r="E153" s="163"/>
      <c r="F153" s="156"/>
      <c r="G153" s="156">
        <v>258.2</v>
      </c>
      <c r="H153" s="142">
        <v>0.1</v>
      </c>
      <c r="I153" s="142"/>
      <c r="J153" s="156"/>
      <c r="K153" s="26">
        <f>(G153*H153)</f>
        <v>25.82</v>
      </c>
    </row>
    <row r="154" spans="1:11">
      <c r="A154" s="16"/>
      <c r="B154" s="139"/>
      <c r="C154" s="139"/>
      <c r="D154" s="147"/>
      <c r="E154" s="139"/>
      <c r="F154" s="156"/>
      <c r="G154" s="156"/>
      <c r="H154" s="156"/>
      <c r="I154" s="156"/>
      <c r="J154" s="156"/>
      <c r="K154" s="26"/>
    </row>
    <row r="155" spans="1:11" ht="33.75">
      <c r="A155" s="16" t="s">
        <v>253</v>
      </c>
      <c r="B155" s="139">
        <v>96535</v>
      </c>
      <c r="C155" s="139" t="s">
        <v>9</v>
      </c>
      <c r="D155" s="147" t="s">
        <v>1214</v>
      </c>
      <c r="E155" s="139" t="s">
        <v>208</v>
      </c>
      <c r="F155" s="142"/>
      <c r="G155" s="142"/>
      <c r="H155" s="142"/>
      <c r="I155" s="142"/>
      <c r="J155" s="142"/>
      <c r="K155" s="21">
        <f>SUM(K156)</f>
        <v>9.7199999999999989</v>
      </c>
    </row>
    <row r="156" spans="1:11">
      <c r="A156" s="16"/>
      <c r="B156" s="139"/>
      <c r="C156" s="139"/>
      <c r="D156" s="147" t="s">
        <v>1405</v>
      </c>
      <c r="E156" s="139"/>
      <c r="F156" s="142">
        <v>1</v>
      </c>
      <c r="G156" s="142">
        <v>1.2</v>
      </c>
      <c r="H156" s="142">
        <v>0.3</v>
      </c>
      <c r="I156" s="142">
        <v>27</v>
      </c>
      <c r="J156" s="142"/>
      <c r="K156" s="20">
        <f>(F156*G156*H156)*I156</f>
        <v>9.7199999999999989</v>
      </c>
    </row>
    <row r="157" spans="1:11">
      <c r="A157" s="16"/>
      <c r="B157" s="139"/>
      <c r="C157" s="139"/>
      <c r="D157" s="147"/>
      <c r="E157" s="139"/>
      <c r="F157" s="142"/>
      <c r="G157" s="142"/>
      <c r="H157" s="142"/>
      <c r="I157" s="142"/>
      <c r="J157" s="142"/>
      <c r="K157" s="20"/>
    </row>
    <row r="158" spans="1:11" ht="33.75">
      <c r="A158" s="16" t="s">
        <v>254</v>
      </c>
      <c r="B158" s="139">
        <v>96536</v>
      </c>
      <c r="C158" s="139" t="s">
        <v>9</v>
      </c>
      <c r="D158" s="147" t="s">
        <v>1215</v>
      </c>
      <c r="E158" s="139" t="s">
        <v>208</v>
      </c>
      <c r="F158" s="142"/>
      <c r="G158" s="142"/>
      <c r="H158" s="142"/>
      <c r="I158" s="142"/>
      <c r="J158" s="142"/>
      <c r="K158" s="21">
        <f>SUM(K159:K159)</f>
        <v>80</v>
      </c>
    </row>
    <row r="159" spans="1:11" ht="22.5">
      <c r="A159" s="16"/>
      <c r="B159" s="139"/>
      <c r="C159" s="139"/>
      <c r="D159" s="147" t="s">
        <v>1422</v>
      </c>
      <c r="E159" s="149"/>
      <c r="F159" s="142">
        <v>0.2</v>
      </c>
      <c r="G159" s="142">
        <v>200</v>
      </c>
      <c r="H159" s="142">
        <v>0.2</v>
      </c>
      <c r="I159" s="142"/>
      <c r="J159" s="142"/>
      <c r="K159" s="20">
        <f t="shared" ref="K159" si="5">(2*H159)*G159</f>
        <v>80</v>
      </c>
    </row>
    <row r="160" spans="1:11">
      <c r="A160" s="16"/>
      <c r="B160" s="139"/>
      <c r="C160" s="139"/>
      <c r="D160" s="147"/>
      <c r="E160" s="149"/>
      <c r="F160" s="142"/>
      <c r="G160" s="142"/>
      <c r="H160" s="142"/>
      <c r="I160" s="142"/>
      <c r="J160" s="142"/>
      <c r="K160" s="20"/>
    </row>
    <row r="161" spans="1:11" ht="33.75">
      <c r="A161" s="16" t="s">
        <v>255</v>
      </c>
      <c r="B161" s="139">
        <v>92413</v>
      </c>
      <c r="C161" s="139" t="s">
        <v>9</v>
      </c>
      <c r="D161" s="147" t="s">
        <v>1216</v>
      </c>
      <c r="E161" s="139" t="s">
        <v>208</v>
      </c>
      <c r="F161" s="142"/>
      <c r="G161" s="142"/>
      <c r="H161" s="142"/>
      <c r="I161" s="142"/>
      <c r="J161" s="142"/>
      <c r="K161" s="21">
        <f>SUM(K162:K163)</f>
        <v>46</v>
      </c>
    </row>
    <row r="162" spans="1:11">
      <c r="A162" s="16"/>
      <c r="B162" s="139"/>
      <c r="C162" s="139"/>
      <c r="D162" s="147" t="s">
        <v>1423</v>
      </c>
      <c r="E162" s="139"/>
      <c r="F162" s="142">
        <v>0.15</v>
      </c>
      <c r="G162" s="142">
        <v>0.2</v>
      </c>
      <c r="H162" s="142">
        <v>2.5</v>
      </c>
      <c r="I162" s="142">
        <v>16</v>
      </c>
      <c r="J162" s="142"/>
      <c r="K162" s="20">
        <f t="shared" ref="K162:K163" si="6">((2*F162)+(2*G162))*H162*I162</f>
        <v>28</v>
      </c>
    </row>
    <row r="163" spans="1:11">
      <c r="A163" s="16"/>
      <c r="B163" s="139"/>
      <c r="C163" s="139"/>
      <c r="D163" s="147" t="s">
        <v>1424</v>
      </c>
      <c r="E163" s="139"/>
      <c r="F163" s="142">
        <v>0.2</v>
      </c>
      <c r="G163" s="142">
        <v>0.4</v>
      </c>
      <c r="H163" s="142">
        <v>5</v>
      </c>
      <c r="I163" s="142">
        <v>3</v>
      </c>
      <c r="J163" s="142"/>
      <c r="K163" s="20">
        <f t="shared" si="6"/>
        <v>18.000000000000004</v>
      </c>
    </row>
    <row r="164" spans="1:11">
      <c r="A164" s="16"/>
      <c r="B164" s="139"/>
      <c r="C164" s="139"/>
      <c r="D164" s="147"/>
      <c r="E164" s="139"/>
      <c r="F164" s="142"/>
      <c r="G164" s="142"/>
      <c r="H164" s="142"/>
      <c r="I164" s="142"/>
      <c r="J164" s="142"/>
      <c r="K164" s="20"/>
    </row>
    <row r="165" spans="1:11" ht="33.75">
      <c r="A165" s="379">
        <v>5.0999999999999996</v>
      </c>
      <c r="B165" s="139">
        <v>96538</v>
      </c>
      <c r="C165" s="139" t="s">
        <v>9</v>
      </c>
      <c r="D165" s="147" t="s">
        <v>1372</v>
      </c>
      <c r="E165" s="139"/>
      <c r="F165" s="142">
        <v>2.5</v>
      </c>
      <c r="G165" s="142">
        <v>2.5</v>
      </c>
      <c r="H165" s="142">
        <v>1.5</v>
      </c>
      <c r="I165" s="142"/>
      <c r="J165" s="142"/>
      <c r="K165" s="21">
        <f>((2.5*4)*1.5)</f>
        <v>15</v>
      </c>
    </row>
    <row r="166" spans="1:11">
      <c r="A166" s="379"/>
      <c r="B166" s="139"/>
      <c r="C166" s="139"/>
      <c r="D166" s="147" t="s">
        <v>1373</v>
      </c>
      <c r="E166" s="139"/>
      <c r="F166" s="142"/>
      <c r="G166" s="142"/>
      <c r="H166" s="142"/>
      <c r="I166" s="142"/>
      <c r="J166" s="142"/>
      <c r="K166" s="21"/>
    </row>
    <row r="167" spans="1:11">
      <c r="A167" s="16"/>
      <c r="B167" s="139"/>
      <c r="C167" s="139"/>
      <c r="D167" s="147"/>
      <c r="E167" s="139"/>
      <c r="F167" s="142"/>
      <c r="G167" s="142"/>
      <c r="H167" s="142"/>
      <c r="I167" s="142"/>
      <c r="J167" s="142"/>
      <c r="K167" s="20"/>
    </row>
    <row r="168" spans="1:11" ht="22.5">
      <c r="A168" s="16">
        <v>5.1100000000000003</v>
      </c>
      <c r="B168" s="139">
        <v>92791</v>
      </c>
      <c r="C168" s="139" t="s">
        <v>9</v>
      </c>
      <c r="D168" s="147" t="s">
        <v>1217</v>
      </c>
      <c r="E168" s="139" t="s">
        <v>209</v>
      </c>
      <c r="F168" s="142"/>
      <c r="G168" s="142"/>
      <c r="H168" s="142"/>
      <c r="I168" s="142"/>
      <c r="J168" s="142"/>
      <c r="K168" s="21">
        <v>181</v>
      </c>
    </row>
    <row r="169" spans="1:11" ht="22.5">
      <c r="A169" s="16"/>
      <c r="B169" s="139"/>
      <c r="C169" s="139"/>
      <c r="D169" s="147" t="s">
        <v>1425</v>
      </c>
      <c r="E169" s="139"/>
      <c r="F169" s="142"/>
      <c r="G169" s="142"/>
      <c r="H169" s="142"/>
      <c r="I169" s="142"/>
      <c r="J169" s="142"/>
      <c r="K169" s="20"/>
    </row>
    <row r="170" spans="1:11">
      <c r="A170" s="16"/>
      <c r="B170" s="139"/>
      <c r="C170" s="139"/>
      <c r="D170" s="147"/>
      <c r="E170" s="139"/>
      <c r="F170" s="142"/>
      <c r="G170" s="142"/>
      <c r="H170" s="142"/>
      <c r="I170" s="142"/>
      <c r="J170" s="142"/>
      <c r="K170" s="20"/>
    </row>
    <row r="171" spans="1:11" ht="33.75">
      <c r="A171" s="16" t="s">
        <v>1505</v>
      </c>
      <c r="B171" s="139">
        <v>92794</v>
      </c>
      <c r="C171" s="139" t="s">
        <v>9</v>
      </c>
      <c r="D171" s="147" t="s">
        <v>1219</v>
      </c>
      <c r="E171" s="139" t="s">
        <v>209</v>
      </c>
      <c r="F171" s="142"/>
      <c r="G171" s="142"/>
      <c r="H171" s="142"/>
      <c r="I171" s="142"/>
      <c r="J171" s="142"/>
      <c r="K171" s="21">
        <f>SUM(543+407+321)</f>
        <v>1271</v>
      </c>
    </row>
    <row r="172" spans="1:11" ht="22.5">
      <c r="A172" s="16"/>
      <c r="B172" s="139"/>
      <c r="C172" s="139"/>
      <c r="D172" s="147" t="s">
        <v>1426</v>
      </c>
      <c r="E172" s="139"/>
      <c r="F172" s="142"/>
      <c r="G172" s="142"/>
      <c r="H172" s="142"/>
      <c r="I172" s="142"/>
      <c r="J172" s="142"/>
      <c r="K172" s="20"/>
    </row>
    <row r="173" spans="1:11">
      <c r="A173" s="16"/>
      <c r="B173" s="139"/>
      <c r="C173" s="139"/>
      <c r="D173" s="147"/>
      <c r="E173" s="139"/>
      <c r="F173" s="156"/>
      <c r="G173" s="156"/>
      <c r="H173" s="156"/>
      <c r="I173" s="156"/>
      <c r="J173" s="156"/>
      <c r="K173" s="26"/>
    </row>
    <row r="174" spans="1:11" ht="22.5">
      <c r="A174" s="16" t="s">
        <v>1506</v>
      </c>
      <c r="B174" s="139">
        <v>97092</v>
      </c>
      <c r="C174" s="139" t="s">
        <v>9</v>
      </c>
      <c r="D174" s="147" t="s">
        <v>618</v>
      </c>
      <c r="E174" s="139" t="s">
        <v>209</v>
      </c>
      <c r="F174" s="156"/>
      <c r="G174" s="156"/>
      <c r="H174" s="156"/>
      <c r="I174" s="156"/>
      <c r="J174" s="156"/>
      <c r="K174" s="27">
        <f>SUM(K175:K175)</f>
        <v>5537.8215</v>
      </c>
    </row>
    <row r="175" spans="1:11" ht="22.5">
      <c r="A175" s="16"/>
      <c r="B175" s="139"/>
      <c r="C175" s="139"/>
      <c r="D175" s="147" t="s">
        <v>439</v>
      </c>
      <c r="E175" s="139"/>
      <c r="F175" s="189" t="s">
        <v>401</v>
      </c>
      <c r="G175" s="156">
        <v>1780.65</v>
      </c>
      <c r="H175" s="142"/>
      <c r="I175" s="142"/>
      <c r="J175" s="156">
        <v>3.11</v>
      </c>
      <c r="K175" s="26">
        <f>G175*J175</f>
        <v>5537.8215</v>
      </c>
    </row>
    <row r="176" spans="1:11">
      <c r="A176" s="16"/>
      <c r="B176" s="139"/>
      <c r="C176" s="139"/>
      <c r="D176" s="165"/>
      <c r="E176" s="155"/>
      <c r="F176" s="156"/>
      <c r="G176" s="156"/>
      <c r="H176" s="156"/>
      <c r="I176" s="156"/>
      <c r="J176" s="156"/>
      <c r="K176" s="26"/>
    </row>
    <row r="177" spans="1:11" ht="33.75">
      <c r="A177" s="16" t="s">
        <v>1507</v>
      </c>
      <c r="B177" s="139">
        <v>97094</v>
      </c>
      <c r="C177" s="139" t="s">
        <v>9</v>
      </c>
      <c r="D177" s="147" t="s">
        <v>1220</v>
      </c>
      <c r="E177" s="139" t="s">
        <v>400</v>
      </c>
      <c r="F177" s="156"/>
      <c r="G177" s="156"/>
      <c r="H177" s="156"/>
      <c r="I177" s="156"/>
      <c r="J177" s="156"/>
      <c r="K177" s="27">
        <f>K178</f>
        <v>178.06500000000003</v>
      </c>
    </row>
    <row r="178" spans="1:11" ht="22.5">
      <c r="A178" s="16"/>
      <c r="B178" s="139"/>
      <c r="C178" s="139"/>
      <c r="D178" s="147" t="s">
        <v>310</v>
      </c>
      <c r="E178" s="139"/>
      <c r="F178" s="189" t="s">
        <v>401</v>
      </c>
      <c r="G178" s="156">
        <v>1780.65</v>
      </c>
      <c r="H178" s="142">
        <v>0.1</v>
      </c>
      <c r="I178" s="142"/>
      <c r="J178" s="156"/>
      <c r="K178" s="26">
        <f>G178*H178</f>
        <v>178.06500000000003</v>
      </c>
    </row>
    <row r="179" spans="1:11">
      <c r="A179" s="16"/>
      <c r="B179" s="139"/>
      <c r="C179" s="139"/>
      <c r="D179" s="147"/>
      <c r="E179" s="139"/>
      <c r="F179" s="156"/>
      <c r="G179" s="156"/>
      <c r="H179" s="156"/>
      <c r="I179" s="156"/>
      <c r="J179" s="156"/>
      <c r="K179" s="26"/>
    </row>
    <row r="180" spans="1:11" ht="33.75">
      <c r="A180" s="16" t="s">
        <v>1508</v>
      </c>
      <c r="B180" s="139">
        <v>94965</v>
      </c>
      <c r="C180" s="139" t="s">
        <v>9</v>
      </c>
      <c r="D180" s="147" t="s">
        <v>624</v>
      </c>
      <c r="E180" s="139" t="s">
        <v>400</v>
      </c>
      <c r="F180" s="142"/>
      <c r="G180" s="142"/>
      <c r="H180" s="142"/>
      <c r="I180" s="142"/>
      <c r="J180" s="142"/>
      <c r="K180" s="21">
        <f>SUM(K182:K186)</f>
        <v>8.3852000000000029</v>
      </c>
    </row>
    <row r="181" spans="1:11">
      <c r="A181" s="16"/>
      <c r="B181" s="139"/>
      <c r="C181" s="139"/>
      <c r="D181" s="148" t="s">
        <v>313</v>
      </c>
      <c r="E181" s="149"/>
      <c r="F181" s="142"/>
      <c r="G181" s="142"/>
      <c r="H181" s="142"/>
      <c r="I181" s="142"/>
      <c r="J181" s="142"/>
      <c r="K181" s="20"/>
    </row>
    <row r="182" spans="1:11">
      <c r="A182" s="16"/>
      <c r="B182" s="139"/>
      <c r="C182" s="139"/>
      <c r="D182" s="147" t="s">
        <v>1405</v>
      </c>
      <c r="E182" s="139"/>
      <c r="F182" s="142">
        <v>1</v>
      </c>
      <c r="G182" s="142">
        <v>1.2</v>
      </c>
      <c r="H182" s="142">
        <v>0.3</v>
      </c>
      <c r="I182" s="142">
        <v>0.27</v>
      </c>
      <c r="J182" s="142"/>
      <c r="K182" s="20">
        <f>(F182*G182*H182)*I182</f>
        <v>9.7200000000000009E-2</v>
      </c>
    </row>
    <row r="183" spans="1:11">
      <c r="A183" s="16"/>
      <c r="B183" s="139"/>
      <c r="C183" s="139"/>
      <c r="D183" s="148" t="s">
        <v>314</v>
      </c>
      <c r="E183" s="149"/>
      <c r="F183" s="142"/>
      <c r="G183" s="142"/>
      <c r="H183" s="142"/>
      <c r="I183" s="142"/>
      <c r="J183" s="142"/>
      <c r="K183" s="20"/>
    </row>
    <row r="184" spans="1:11" ht="22.5">
      <c r="A184" s="16"/>
      <c r="B184" s="139"/>
      <c r="C184" s="139"/>
      <c r="D184" s="147" t="s">
        <v>1422</v>
      </c>
      <c r="E184" s="149"/>
      <c r="F184" s="142">
        <v>0.2</v>
      </c>
      <c r="G184" s="142">
        <v>200</v>
      </c>
      <c r="H184" s="142">
        <v>0.2</v>
      </c>
      <c r="I184" s="142"/>
      <c r="J184" s="142"/>
      <c r="K184" s="20">
        <f>(F184*H184)*G184</f>
        <v>8.0000000000000018</v>
      </c>
    </row>
    <row r="185" spans="1:11">
      <c r="A185" s="16"/>
      <c r="B185" s="139"/>
      <c r="C185" s="139"/>
      <c r="D185" s="148" t="s">
        <v>312</v>
      </c>
      <c r="E185" s="149"/>
      <c r="F185" s="142"/>
      <c r="G185" s="142"/>
      <c r="H185" s="142"/>
      <c r="I185" s="142"/>
      <c r="J185" s="142"/>
      <c r="K185" s="20"/>
    </row>
    <row r="186" spans="1:11">
      <c r="A186" s="16"/>
      <c r="B186" s="139"/>
      <c r="C186" s="139"/>
      <c r="D186" s="147" t="s">
        <v>1424</v>
      </c>
      <c r="E186" s="139"/>
      <c r="F186" s="142">
        <v>0.2</v>
      </c>
      <c r="G186" s="142">
        <v>0.4</v>
      </c>
      <c r="H186" s="142">
        <v>1.2</v>
      </c>
      <c r="I186" s="142">
        <v>3</v>
      </c>
      <c r="J186" s="142"/>
      <c r="K186" s="20">
        <f>(F186*G186*H186)*I186</f>
        <v>0.28800000000000003</v>
      </c>
    </row>
    <row r="187" spans="1:11">
      <c r="A187" s="16"/>
      <c r="B187" s="139"/>
      <c r="C187" s="139"/>
      <c r="D187" s="147"/>
      <c r="E187" s="139"/>
      <c r="F187" s="142"/>
      <c r="G187" s="142"/>
      <c r="H187" s="142"/>
      <c r="I187" s="142"/>
      <c r="J187" s="142"/>
      <c r="K187" s="20"/>
    </row>
    <row r="188" spans="1:11" ht="22.5">
      <c r="A188" s="16" t="s">
        <v>1509</v>
      </c>
      <c r="B188" s="139">
        <v>92873</v>
      </c>
      <c r="C188" s="139" t="s">
        <v>9</v>
      </c>
      <c r="D188" s="147" t="s">
        <v>1221</v>
      </c>
      <c r="E188" s="139" t="s">
        <v>400</v>
      </c>
      <c r="F188" s="142"/>
      <c r="G188" s="142"/>
      <c r="H188" s="142"/>
      <c r="I188" s="142"/>
      <c r="J188" s="142"/>
      <c r="K188" s="21">
        <f>SUM(K190:K194)</f>
        <v>8.3852000000000029</v>
      </c>
    </row>
    <row r="189" spans="1:11">
      <c r="A189" s="16"/>
      <c r="B189" s="139"/>
      <c r="C189" s="139"/>
      <c r="D189" s="148" t="s">
        <v>313</v>
      </c>
      <c r="E189" s="149"/>
      <c r="F189" s="142"/>
      <c r="G189" s="142"/>
      <c r="H189" s="142"/>
      <c r="I189" s="142"/>
      <c r="J189" s="142"/>
      <c r="K189" s="20"/>
    </row>
    <row r="190" spans="1:11">
      <c r="A190" s="16"/>
      <c r="B190" s="139"/>
      <c r="C190" s="139"/>
      <c r="D190" s="147" t="s">
        <v>1405</v>
      </c>
      <c r="E190" s="139"/>
      <c r="F190" s="142">
        <v>1</v>
      </c>
      <c r="G190" s="142">
        <v>1.2</v>
      </c>
      <c r="H190" s="142">
        <v>0.3</v>
      </c>
      <c r="I190" s="142">
        <v>0.27</v>
      </c>
      <c r="J190" s="142"/>
      <c r="K190" s="20">
        <f>(F190*G190*H190)*I190</f>
        <v>9.7200000000000009E-2</v>
      </c>
    </row>
    <row r="191" spans="1:11">
      <c r="A191" s="16"/>
      <c r="B191" s="139"/>
      <c r="C191" s="139"/>
      <c r="D191" s="148" t="s">
        <v>314</v>
      </c>
      <c r="E191" s="149"/>
      <c r="F191" s="142"/>
      <c r="G191" s="142"/>
      <c r="H191" s="142"/>
      <c r="I191" s="142"/>
      <c r="J191" s="142"/>
      <c r="K191" s="20"/>
    </row>
    <row r="192" spans="1:11" ht="22.5">
      <c r="A192" s="16"/>
      <c r="B192" s="139"/>
      <c r="C192" s="139"/>
      <c r="D192" s="147" t="s">
        <v>1422</v>
      </c>
      <c r="E192" s="149"/>
      <c r="F192" s="142">
        <v>0.2</v>
      </c>
      <c r="G192" s="142">
        <v>200</v>
      </c>
      <c r="H192" s="142">
        <v>0.2</v>
      </c>
      <c r="I192" s="142"/>
      <c r="J192" s="142"/>
      <c r="K192" s="20">
        <f>(F192*H192)*G192</f>
        <v>8.0000000000000018</v>
      </c>
    </row>
    <row r="193" spans="1:12">
      <c r="A193" s="16"/>
      <c r="B193" s="139"/>
      <c r="C193" s="139"/>
      <c r="D193" s="148" t="s">
        <v>312</v>
      </c>
      <c r="E193" s="149"/>
      <c r="F193" s="142"/>
      <c r="G193" s="142"/>
      <c r="H193" s="142"/>
      <c r="I193" s="142"/>
      <c r="J193" s="142"/>
      <c r="K193" s="20"/>
    </row>
    <row r="194" spans="1:12">
      <c r="A194" s="16"/>
      <c r="B194" s="139"/>
      <c r="C194" s="139"/>
      <c r="D194" s="147" t="s">
        <v>1424</v>
      </c>
      <c r="E194" s="139"/>
      <c r="F194" s="142">
        <v>0.2</v>
      </c>
      <c r="G194" s="142">
        <v>0.4</v>
      </c>
      <c r="H194" s="142">
        <v>1.2</v>
      </c>
      <c r="I194" s="142">
        <v>3</v>
      </c>
      <c r="J194" s="142"/>
      <c r="K194" s="20">
        <f>(F194*G194*H194)*I194</f>
        <v>0.28800000000000003</v>
      </c>
    </row>
    <row r="195" spans="1:12">
      <c r="A195" s="16"/>
      <c r="B195" s="139"/>
      <c r="C195" s="139"/>
      <c r="D195" s="147"/>
      <c r="E195" s="139"/>
      <c r="F195" s="142"/>
      <c r="G195" s="142"/>
      <c r="H195" s="142"/>
      <c r="I195" s="142"/>
      <c r="J195" s="156"/>
      <c r="K195" s="20"/>
    </row>
    <row r="196" spans="1:12" ht="22.5">
      <c r="A196" s="119" t="s">
        <v>33</v>
      </c>
      <c r="B196" s="176"/>
      <c r="C196" s="176"/>
      <c r="D196" s="177" t="s">
        <v>30</v>
      </c>
      <c r="E196" s="178"/>
      <c r="F196" s="175"/>
      <c r="G196" s="175"/>
      <c r="H196" s="175"/>
      <c r="I196" s="175"/>
      <c r="J196" s="175"/>
      <c r="K196" s="120"/>
    </row>
    <row r="197" spans="1:12">
      <c r="A197" s="377" t="s">
        <v>36</v>
      </c>
      <c r="B197" s="211"/>
      <c r="C197" s="211"/>
      <c r="D197" s="148" t="s">
        <v>134</v>
      </c>
      <c r="E197" s="378"/>
      <c r="F197" s="142"/>
      <c r="G197" s="142"/>
      <c r="H197" s="142"/>
      <c r="I197" s="142"/>
      <c r="J197" s="142"/>
      <c r="K197" s="20"/>
    </row>
    <row r="198" spans="1:12" s="12" customFormat="1" ht="33.75">
      <c r="A198" s="16" t="s">
        <v>256</v>
      </c>
      <c r="B198" s="139">
        <v>92794</v>
      </c>
      <c r="C198" s="139" t="s">
        <v>9</v>
      </c>
      <c r="D198" s="147" t="s">
        <v>1219</v>
      </c>
      <c r="E198" s="139" t="s">
        <v>209</v>
      </c>
      <c r="F198" s="400"/>
      <c r="G198" s="142"/>
      <c r="H198" s="162"/>
      <c r="I198" s="162"/>
      <c r="J198" s="428"/>
      <c r="K198" s="21">
        <f>K199</f>
        <v>1128.4929999999999</v>
      </c>
    </row>
    <row r="199" spans="1:12" s="12" customFormat="1" ht="33.75">
      <c r="A199" s="16"/>
      <c r="B199" s="139"/>
      <c r="C199" s="139"/>
      <c r="D199" s="147" t="s">
        <v>1504</v>
      </c>
      <c r="E199" s="139"/>
      <c r="F199" s="400"/>
      <c r="G199" s="142">
        <v>1829</v>
      </c>
      <c r="H199" s="162"/>
      <c r="I199" s="162"/>
      <c r="J199" s="428">
        <v>0.61699999999999999</v>
      </c>
      <c r="K199" s="20">
        <f>G199*J199</f>
        <v>1128.4929999999999</v>
      </c>
    </row>
    <row r="200" spans="1:12" s="12" customFormat="1">
      <c r="A200" s="16"/>
      <c r="B200" s="139"/>
      <c r="C200" s="139"/>
      <c r="D200" s="147"/>
      <c r="E200" s="139"/>
      <c r="F200" s="142"/>
      <c r="G200" s="142"/>
      <c r="H200" s="142"/>
      <c r="I200" s="142"/>
      <c r="J200" s="142"/>
      <c r="K200" s="20"/>
    </row>
    <row r="201" spans="1:12" s="12" customFormat="1" ht="67.5">
      <c r="A201" s="16" t="s">
        <v>257</v>
      </c>
      <c r="B201" s="139" t="s">
        <v>475</v>
      </c>
      <c r="C201" s="139" t="s">
        <v>133</v>
      </c>
      <c r="D201" s="147" t="s">
        <v>1222</v>
      </c>
      <c r="E201" s="139" t="s">
        <v>208</v>
      </c>
      <c r="F201" s="142"/>
      <c r="G201" s="142"/>
      <c r="H201" s="142"/>
      <c r="I201" s="142"/>
      <c r="J201" s="142"/>
      <c r="K201" s="21">
        <f>K202-K203</f>
        <v>1641.32</v>
      </c>
    </row>
    <row r="202" spans="1:12" s="12" customFormat="1" ht="33.75">
      <c r="A202" s="16"/>
      <c r="B202" s="139"/>
      <c r="C202" s="139"/>
      <c r="D202" s="147" t="s">
        <v>234</v>
      </c>
      <c r="E202" s="139"/>
      <c r="F202" s="142" t="s">
        <v>141</v>
      </c>
      <c r="G202" s="142">
        <v>609.04</v>
      </c>
      <c r="H202" s="142">
        <v>3</v>
      </c>
      <c r="I202" s="142"/>
      <c r="J202" s="142"/>
      <c r="K202" s="20">
        <f>G202*H202</f>
        <v>1827.12</v>
      </c>
    </row>
    <row r="203" spans="1:12" s="12" customFormat="1">
      <c r="A203" s="16"/>
      <c r="B203" s="139"/>
      <c r="C203" s="139"/>
      <c r="D203" s="190" t="s">
        <v>132</v>
      </c>
      <c r="E203" s="139"/>
      <c r="F203" s="417" t="s">
        <v>10</v>
      </c>
      <c r="G203" s="142"/>
      <c r="H203" s="142"/>
      <c r="I203" s="142"/>
      <c r="J203" s="142"/>
      <c r="K203" s="28">
        <v>185.8</v>
      </c>
    </row>
    <row r="204" spans="1:12" s="12" customFormat="1">
      <c r="A204" s="16"/>
      <c r="B204" s="139"/>
      <c r="C204" s="139"/>
      <c r="D204" s="165"/>
      <c r="E204" s="139"/>
      <c r="F204" s="142"/>
      <c r="G204" s="142"/>
      <c r="H204" s="142"/>
      <c r="I204" s="142"/>
      <c r="J204" s="142"/>
      <c r="K204" s="20"/>
    </row>
    <row r="205" spans="1:12" s="12" customFormat="1" ht="33.75">
      <c r="A205" s="16" t="s">
        <v>258</v>
      </c>
      <c r="B205" s="139">
        <v>94965</v>
      </c>
      <c r="C205" s="139" t="s">
        <v>9</v>
      </c>
      <c r="D205" s="147" t="s">
        <v>1223</v>
      </c>
      <c r="E205" s="139" t="s">
        <v>400</v>
      </c>
      <c r="F205" s="156"/>
      <c r="G205" s="156"/>
      <c r="H205" s="156"/>
      <c r="I205" s="156"/>
      <c r="J205" s="156"/>
      <c r="K205" s="27">
        <f>K206</f>
        <v>127.89840000000001</v>
      </c>
      <c r="L205" s="7"/>
    </row>
    <row r="206" spans="1:12" s="12" customFormat="1" ht="33.75">
      <c r="A206" s="16"/>
      <c r="B206" s="139"/>
      <c r="C206" s="139"/>
      <c r="D206" s="147" t="s">
        <v>234</v>
      </c>
      <c r="E206" s="139"/>
      <c r="F206" s="142">
        <v>7.0000000000000007E-2</v>
      </c>
      <c r="G206" s="142">
        <v>609.04</v>
      </c>
      <c r="H206" s="142">
        <v>3</v>
      </c>
      <c r="I206" s="142"/>
      <c r="J206" s="142"/>
      <c r="K206" s="20">
        <f>PRODUCT(F206:H206)</f>
        <v>127.89840000000001</v>
      </c>
    </row>
    <row r="207" spans="1:12" s="12" customFormat="1">
      <c r="A207" s="16"/>
      <c r="B207" s="139"/>
      <c r="C207" s="139"/>
      <c r="D207" s="165"/>
      <c r="E207" s="139"/>
      <c r="F207" s="142"/>
      <c r="G207" s="142"/>
      <c r="H207" s="142"/>
      <c r="I207" s="142"/>
      <c r="J207" s="142"/>
      <c r="K207" s="20"/>
    </row>
    <row r="208" spans="1:12" s="12" customFormat="1" ht="22.5">
      <c r="A208" s="16" t="s">
        <v>259</v>
      </c>
      <c r="B208" s="139">
        <v>92873</v>
      </c>
      <c r="C208" s="139" t="s">
        <v>9</v>
      </c>
      <c r="D208" s="165" t="s">
        <v>1221</v>
      </c>
      <c r="E208" s="139" t="s">
        <v>400</v>
      </c>
      <c r="F208" s="142"/>
      <c r="G208" s="142"/>
      <c r="H208" s="142"/>
      <c r="I208" s="142"/>
      <c r="J208" s="142"/>
      <c r="K208" s="27">
        <f>K209</f>
        <v>127.89840000000001</v>
      </c>
    </row>
    <row r="209" spans="1:11" s="12" customFormat="1" ht="33.75">
      <c r="A209" s="16"/>
      <c r="B209" s="139"/>
      <c r="C209" s="139"/>
      <c r="D209" s="147" t="s">
        <v>234</v>
      </c>
      <c r="E209" s="139"/>
      <c r="F209" s="142">
        <v>7.0000000000000007E-2</v>
      </c>
      <c r="G209" s="142">
        <v>609.04</v>
      </c>
      <c r="H209" s="142">
        <v>3</v>
      </c>
      <c r="I209" s="142"/>
      <c r="J209" s="142"/>
      <c r="K209" s="20">
        <f>PRODUCT(F209:H209)</f>
        <v>127.89840000000001</v>
      </c>
    </row>
    <row r="210" spans="1:11" s="12" customFormat="1">
      <c r="A210" s="16"/>
      <c r="B210" s="139"/>
      <c r="C210" s="139"/>
      <c r="D210" s="190"/>
      <c r="E210" s="139"/>
      <c r="F210" s="142"/>
      <c r="G210" s="142"/>
      <c r="H210" s="142"/>
      <c r="I210" s="142"/>
      <c r="J210" s="142"/>
      <c r="K210" s="28"/>
    </row>
    <row r="211" spans="1:11" s="12" customFormat="1" ht="33.75">
      <c r="A211" s="17" t="s">
        <v>260</v>
      </c>
      <c r="B211" s="149">
        <v>102253</v>
      </c>
      <c r="C211" s="139" t="s">
        <v>9</v>
      </c>
      <c r="D211" s="150" t="s">
        <v>1224</v>
      </c>
      <c r="E211" s="149" t="s">
        <v>208</v>
      </c>
      <c r="F211" s="142"/>
      <c r="G211" s="142"/>
      <c r="H211" s="142"/>
      <c r="I211" s="142"/>
      <c r="J211" s="142"/>
      <c r="K211" s="21">
        <f>SUM(K212:K212)</f>
        <v>11.520000000000001</v>
      </c>
    </row>
    <row r="212" spans="1:11" s="12" customFormat="1">
      <c r="A212" s="17"/>
      <c r="B212" s="149"/>
      <c r="C212" s="149"/>
      <c r="D212" s="150" t="s">
        <v>235</v>
      </c>
      <c r="E212" s="149"/>
      <c r="F212" s="142"/>
      <c r="G212" s="142">
        <v>6.4</v>
      </c>
      <c r="H212" s="142">
        <v>1.8</v>
      </c>
      <c r="I212" s="142"/>
      <c r="J212" s="142"/>
      <c r="K212" s="20">
        <f>G212*H212</f>
        <v>11.520000000000001</v>
      </c>
    </row>
    <row r="213" spans="1:11" s="12" customFormat="1">
      <c r="A213" s="17"/>
      <c r="B213" s="149"/>
      <c r="C213" s="149"/>
      <c r="D213" s="150"/>
      <c r="E213" s="149"/>
      <c r="F213" s="142"/>
      <c r="G213" s="142"/>
      <c r="H213" s="142"/>
      <c r="I213" s="142"/>
      <c r="J213" s="142"/>
      <c r="K213" s="20"/>
    </row>
    <row r="214" spans="1:11" s="12" customFormat="1" ht="22.5">
      <c r="A214" s="17" t="s">
        <v>261</v>
      </c>
      <c r="B214" s="139" t="s">
        <v>409</v>
      </c>
      <c r="C214" s="139" t="s">
        <v>133</v>
      </c>
      <c r="D214" s="150" t="s">
        <v>1225</v>
      </c>
      <c r="E214" s="149" t="s">
        <v>208</v>
      </c>
      <c r="F214" s="142"/>
      <c r="G214" s="142"/>
      <c r="H214" s="142"/>
      <c r="I214" s="142"/>
      <c r="J214" s="142"/>
      <c r="K214" s="21">
        <f>SUM(K215:K219)</f>
        <v>84.381999999999991</v>
      </c>
    </row>
    <row r="215" spans="1:11" s="12" customFormat="1">
      <c r="A215" s="17"/>
      <c r="B215" s="149"/>
      <c r="C215" s="149"/>
      <c r="D215" s="150" t="s">
        <v>236</v>
      </c>
      <c r="E215" s="149"/>
      <c r="F215" s="142">
        <v>0.6</v>
      </c>
      <c r="G215" s="142">
        <v>26</v>
      </c>
      <c r="H215" s="142"/>
      <c r="I215" s="142"/>
      <c r="J215" s="142"/>
      <c r="K215" s="20">
        <f>(F215*G215)</f>
        <v>15.6</v>
      </c>
    </row>
    <row r="216" spans="1:11" s="12" customFormat="1">
      <c r="A216" s="17"/>
      <c r="B216" s="149"/>
      <c r="C216" s="149"/>
      <c r="D216" s="150" t="s">
        <v>337</v>
      </c>
      <c r="E216" s="149"/>
      <c r="F216" s="142">
        <v>0.6</v>
      </c>
      <c r="G216" s="142">
        <v>17.7</v>
      </c>
      <c r="H216" s="142"/>
      <c r="I216" s="142"/>
      <c r="J216" s="142"/>
      <c r="K216" s="20">
        <f>F216*G216</f>
        <v>10.62</v>
      </c>
    </row>
    <row r="217" spans="1:11" s="12" customFormat="1">
      <c r="A217" s="16"/>
      <c r="B217" s="139"/>
      <c r="C217" s="139"/>
      <c r="D217" s="147" t="s">
        <v>1339</v>
      </c>
      <c r="E217" s="139"/>
      <c r="F217" s="142">
        <v>0.6</v>
      </c>
      <c r="G217" s="142">
        <v>41.83</v>
      </c>
      <c r="H217" s="142"/>
      <c r="I217" s="142"/>
      <c r="J217" s="142"/>
      <c r="K217" s="20">
        <f t="shared" ref="K217:K219" si="7">F217*G217</f>
        <v>25.097999999999999</v>
      </c>
    </row>
    <row r="218" spans="1:11" s="12" customFormat="1">
      <c r="A218" s="16"/>
      <c r="B218" s="139"/>
      <c r="C218" s="139"/>
      <c r="D218" s="147" t="s">
        <v>1340</v>
      </c>
      <c r="E218" s="139"/>
      <c r="F218" s="142">
        <v>0.7</v>
      </c>
      <c r="G218" s="142">
        <v>34.479999999999997</v>
      </c>
      <c r="H218" s="142"/>
      <c r="I218" s="142"/>
      <c r="J218" s="142"/>
      <c r="K218" s="20">
        <f t="shared" si="7"/>
        <v>24.135999999999996</v>
      </c>
    </row>
    <row r="219" spans="1:11" s="12" customFormat="1">
      <c r="A219" s="16"/>
      <c r="B219" s="139"/>
      <c r="C219" s="139"/>
      <c r="D219" s="147" t="s">
        <v>338</v>
      </c>
      <c r="E219" s="139"/>
      <c r="F219" s="142">
        <v>0.6</v>
      </c>
      <c r="G219" s="142">
        <v>14.88</v>
      </c>
      <c r="H219" s="142"/>
      <c r="I219" s="142"/>
      <c r="J219" s="142"/>
      <c r="K219" s="20">
        <f t="shared" si="7"/>
        <v>8.9280000000000008</v>
      </c>
    </row>
    <row r="220" spans="1:11" s="12" customFormat="1">
      <c r="A220" s="16"/>
      <c r="B220" s="139"/>
      <c r="C220" s="139"/>
      <c r="D220" s="147"/>
      <c r="E220" s="139"/>
      <c r="F220" s="142"/>
      <c r="G220" s="142"/>
      <c r="H220" s="142"/>
      <c r="I220" s="142"/>
      <c r="J220" s="142"/>
      <c r="K220" s="20"/>
    </row>
    <row r="221" spans="1:11" s="12" customFormat="1">
      <c r="A221" s="377" t="s">
        <v>37</v>
      </c>
      <c r="B221" s="211"/>
      <c r="C221" s="211"/>
      <c r="D221" s="148" t="s">
        <v>135</v>
      </c>
      <c r="E221" s="378"/>
      <c r="F221" s="142"/>
      <c r="G221" s="142"/>
      <c r="H221" s="142"/>
      <c r="I221" s="142"/>
      <c r="J221" s="142"/>
      <c r="K221" s="20"/>
    </row>
    <row r="222" spans="1:11" s="12" customFormat="1" ht="33.75">
      <c r="A222" s="16" t="s">
        <v>262</v>
      </c>
      <c r="B222" s="139">
        <v>103329</v>
      </c>
      <c r="C222" s="139" t="s">
        <v>9</v>
      </c>
      <c r="D222" s="165" t="s">
        <v>1226</v>
      </c>
      <c r="E222" s="139" t="s">
        <v>208</v>
      </c>
      <c r="F222" s="142"/>
      <c r="G222" s="142"/>
      <c r="H222" s="142"/>
      <c r="I222" s="142"/>
      <c r="J222" s="142"/>
      <c r="K222" s="21">
        <f>SUM(K223:K223)</f>
        <v>101.65</v>
      </c>
    </row>
    <row r="223" spans="1:11" s="12" customFormat="1" ht="22.5">
      <c r="A223" s="16"/>
      <c r="B223" s="139"/>
      <c r="C223" s="139"/>
      <c r="D223" s="147" t="s">
        <v>1341</v>
      </c>
      <c r="E223" s="139"/>
      <c r="F223" s="142"/>
      <c r="G223" s="142">
        <v>203.3</v>
      </c>
      <c r="H223" s="142">
        <v>0.5</v>
      </c>
      <c r="I223" s="142"/>
      <c r="J223" s="142"/>
      <c r="K223" s="20">
        <f>G223*H223</f>
        <v>101.65</v>
      </c>
    </row>
    <row r="224" spans="1:11" s="12" customFormat="1">
      <c r="A224" s="16"/>
      <c r="B224" s="139"/>
      <c r="C224" s="139"/>
      <c r="D224" s="147"/>
      <c r="E224" s="139"/>
      <c r="F224" s="142"/>
      <c r="G224" s="142"/>
      <c r="H224" s="142"/>
      <c r="I224" s="142"/>
      <c r="J224" s="142"/>
      <c r="K224" s="20"/>
    </row>
    <row r="225" spans="1:11" s="12" customFormat="1" ht="67.5">
      <c r="A225" s="16" t="s">
        <v>343</v>
      </c>
      <c r="B225" s="139" t="s">
        <v>1163</v>
      </c>
      <c r="C225" s="139" t="s">
        <v>11</v>
      </c>
      <c r="D225" s="147" t="s">
        <v>1227</v>
      </c>
      <c r="E225" s="139" t="s">
        <v>210</v>
      </c>
      <c r="F225" s="142"/>
      <c r="G225" s="142"/>
      <c r="H225" s="142"/>
      <c r="I225" s="142"/>
      <c r="J225" s="142"/>
      <c r="K225" s="21">
        <f>SUM(K226:K226)</f>
        <v>144.19999999999999</v>
      </c>
    </row>
    <row r="226" spans="1:11" s="12" customFormat="1">
      <c r="A226" s="16"/>
      <c r="B226" s="139"/>
      <c r="C226" s="139"/>
      <c r="D226" s="147" t="s">
        <v>1342</v>
      </c>
      <c r="E226" s="139"/>
      <c r="F226" s="142"/>
      <c r="G226" s="142">
        <v>144.19999999999999</v>
      </c>
      <c r="H226" s="142"/>
      <c r="I226" s="142"/>
      <c r="J226" s="142"/>
      <c r="K226" s="20">
        <f>G226</f>
        <v>144.19999999999999</v>
      </c>
    </row>
    <row r="227" spans="1:11" s="12" customFormat="1">
      <c r="A227" s="16"/>
      <c r="B227" s="139"/>
      <c r="C227" s="139"/>
      <c r="D227" s="187"/>
      <c r="E227" s="139"/>
      <c r="F227" s="142"/>
      <c r="G227" s="142"/>
      <c r="H227" s="142"/>
      <c r="I227" s="142"/>
      <c r="J227" s="142"/>
      <c r="K227" s="21"/>
    </row>
    <row r="228" spans="1:11" s="12" customFormat="1" ht="33.75">
      <c r="A228" s="16" t="s">
        <v>344</v>
      </c>
      <c r="B228" s="139">
        <v>101161</v>
      </c>
      <c r="C228" s="139" t="s">
        <v>9</v>
      </c>
      <c r="D228" s="147" t="s">
        <v>649</v>
      </c>
      <c r="E228" s="139" t="s">
        <v>208</v>
      </c>
      <c r="F228" s="142"/>
      <c r="G228" s="142"/>
      <c r="H228" s="142"/>
      <c r="I228" s="142"/>
      <c r="J228" s="142"/>
      <c r="K228" s="21">
        <f>SUM(K229:K231)</f>
        <v>81.149999999999991</v>
      </c>
    </row>
    <row r="229" spans="1:11" s="12" customFormat="1">
      <c r="A229" s="16"/>
      <c r="B229" s="139"/>
      <c r="C229" s="139"/>
      <c r="D229" s="147" t="s">
        <v>1343</v>
      </c>
      <c r="E229" s="139"/>
      <c r="F229" s="142"/>
      <c r="G229" s="142">
        <v>10</v>
      </c>
      <c r="H229" s="142">
        <v>1.5</v>
      </c>
      <c r="I229" s="142"/>
      <c r="J229" s="142"/>
      <c r="K229" s="20">
        <f t="shared" ref="K229:K231" si="8">G229*H229</f>
        <v>15</v>
      </c>
    </row>
    <row r="230" spans="1:11" s="12" customFormat="1">
      <c r="A230" s="16"/>
      <c r="B230" s="429"/>
      <c r="C230" s="429"/>
      <c r="D230" s="421" t="s">
        <v>1536</v>
      </c>
      <c r="E230" s="429"/>
      <c r="F230" s="423" t="s">
        <v>141</v>
      </c>
      <c r="G230" s="423">
        <f>5+0.8+3.55+2.35</f>
        <v>11.7</v>
      </c>
      <c r="H230" s="423">
        <v>4</v>
      </c>
      <c r="I230" s="423"/>
      <c r="J230" s="423"/>
      <c r="K230" s="20">
        <f t="shared" si="8"/>
        <v>46.8</v>
      </c>
    </row>
    <row r="231" spans="1:11" s="12" customFormat="1">
      <c r="A231" s="16"/>
      <c r="B231" s="429"/>
      <c r="C231" s="429"/>
      <c r="D231" s="421" t="s">
        <v>1537</v>
      </c>
      <c r="E231" s="429"/>
      <c r="F231" s="423" t="s">
        <v>141</v>
      </c>
      <c r="G231" s="423">
        <v>4.3</v>
      </c>
      <c r="H231" s="423">
        <v>4.5</v>
      </c>
      <c r="I231" s="423"/>
      <c r="J231" s="423"/>
      <c r="K231" s="20">
        <f t="shared" si="8"/>
        <v>19.349999999999998</v>
      </c>
    </row>
    <row r="232" spans="1:11" s="12" customFormat="1">
      <c r="A232" s="16"/>
      <c r="B232" s="139"/>
      <c r="C232" s="139"/>
      <c r="D232" s="147"/>
      <c r="E232" s="139"/>
      <c r="F232" s="142"/>
      <c r="G232" s="142"/>
      <c r="H232" s="142"/>
      <c r="I232" s="142"/>
      <c r="J232" s="142"/>
      <c r="K232" s="20"/>
    </row>
    <row r="233" spans="1:11" s="12" customFormat="1" ht="33.75">
      <c r="A233" s="16" t="s">
        <v>457</v>
      </c>
      <c r="B233" s="139">
        <v>96536</v>
      </c>
      <c r="C233" s="139" t="s">
        <v>9</v>
      </c>
      <c r="D233" s="147" t="s">
        <v>1215</v>
      </c>
      <c r="E233" s="139" t="s">
        <v>208</v>
      </c>
      <c r="F233" s="142"/>
      <c r="G233" s="142"/>
      <c r="H233" s="156"/>
      <c r="I233" s="156"/>
      <c r="J233" s="156"/>
      <c r="K233" s="27">
        <f>SUM(K234:K234)</f>
        <v>60.99</v>
      </c>
    </row>
    <row r="234" spans="1:11" s="12" customFormat="1" ht="22.5">
      <c r="A234" s="16"/>
      <c r="B234" s="139"/>
      <c r="C234" s="139"/>
      <c r="D234" s="147" t="s">
        <v>1427</v>
      </c>
      <c r="E234" s="149"/>
      <c r="F234" s="142">
        <v>0.15</v>
      </c>
      <c r="G234" s="142">
        <v>203.3</v>
      </c>
      <c r="H234" s="142">
        <v>0.15</v>
      </c>
      <c r="I234" s="142"/>
      <c r="J234" s="156"/>
      <c r="K234" s="26">
        <f t="shared" ref="K234" si="9">(2*H234)*G234</f>
        <v>60.99</v>
      </c>
    </row>
    <row r="235" spans="1:11" s="12" customFormat="1">
      <c r="A235" s="16"/>
      <c r="B235" s="139"/>
      <c r="C235" s="139"/>
      <c r="D235" s="147"/>
      <c r="E235" s="139"/>
      <c r="F235" s="142"/>
      <c r="G235" s="142"/>
      <c r="H235" s="142"/>
      <c r="I235" s="142"/>
      <c r="J235" s="142"/>
      <c r="K235" s="20"/>
    </row>
    <row r="236" spans="1:11" s="12" customFormat="1" ht="33.75">
      <c r="A236" s="16" t="s">
        <v>458</v>
      </c>
      <c r="B236" s="139">
        <v>92413</v>
      </c>
      <c r="C236" s="139" t="s">
        <v>9</v>
      </c>
      <c r="D236" s="147" t="s">
        <v>1216</v>
      </c>
      <c r="E236" s="139" t="s">
        <v>208</v>
      </c>
      <c r="F236" s="142"/>
      <c r="G236" s="142"/>
      <c r="H236" s="156"/>
      <c r="I236" s="156"/>
      <c r="J236" s="156"/>
      <c r="K236" s="27">
        <f>SUM(K237:K238)</f>
        <v>46</v>
      </c>
    </row>
    <row r="237" spans="1:11" s="12" customFormat="1">
      <c r="A237" s="16"/>
      <c r="B237" s="139"/>
      <c r="C237" s="139"/>
      <c r="D237" s="147" t="s">
        <v>1428</v>
      </c>
      <c r="E237" s="139"/>
      <c r="F237" s="142">
        <v>0.15</v>
      </c>
      <c r="G237" s="142">
        <v>0.2</v>
      </c>
      <c r="H237" s="142">
        <v>2.5</v>
      </c>
      <c r="I237" s="142">
        <v>16</v>
      </c>
      <c r="J237" s="156"/>
      <c r="K237" s="26">
        <f t="shared" ref="K237:K238" si="10">((2*F237)+(2*G237))*H237*I237</f>
        <v>28</v>
      </c>
    </row>
    <row r="238" spans="1:11" s="12" customFormat="1">
      <c r="A238" s="16"/>
      <c r="B238" s="139"/>
      <c r="C238" s="139"/>
      <c r="D238" s="147" t="s">
        <v>1429</v>
      </c>
      <c r="E238" s="139"/>
      <c r="F238" s="142">
        <v>0.2</v>
      </c>
      <c r="G238" s="142">
        <v>0.4</v>
      </c>
      <c r="H238" s="142">
        <v>5</v>
      </c>
      <c r="I238" s="142">
        <v>3</v>
      </c>
      <c r="J238" s="156"/>
      <c r="K238" s="26">
        <f t="shared" si="10"/>
        <v>18.000000000000004</v>
      </c>
    </row>
    <row r="239" spans="1:11" s="12" customFormat="1">
      <c r="A239" s="16"/>
      <c r="B239" s="139"/>
      <c r="C239" s="139"/>
      <c r="D239" s="147"/>
      <c r="E239" s="139"/>
      <c r="F239" s="142"/>
      <c r="G239" s="142"/>
      <c r="H239" s="142"/>
      <c r="I239" s="142"/>
      <c r="J239" s="142"/>
      <c r="K239" s="20"/>
    </row>
    <row r="240" spans="1:11" s="12" customFormat="1" ht="22.5">
      <c r="A240" s="16" t="s">
        <v>459</v>
      </c>
      <c r="B240" s="139">
        <v>92791</v>
      </c>
      <c r="C240" s="139" t="s">
        <v>9</v>
      </c>
      <c r="D240" s="147" t="s">
        <v>1217</v>
      </c>
      <c r="E240" s="139" t="s">
        <v>209</v>
      </c>
      <c r="F240" s="156"/>
      <c r="G240" s="156"/>
      <c r="H240" s="156"/>
      <c r="I240" s="156"/>
      <c r="J240" s="156"/>
      <c r="K240" s="27">
        <f>98+136</f>
        <v>234</v>
      </c>
    </row>
    <row r="241" spans="1:11" s="12" customFormat="1" ht="22.5">
      <c r="A241" s="16"/>
      <c r="B241" s="139"/>
      <c r="C241" s="139"/>
      <c r="D241" s="147" t="s">
        <v>1430</v>
      </c>
      <c r="E241" s="139"/>
      <c r="F241" s="156"/>
      <c r="G241" s="156"/>
      <c r="H241" s="156"/>
      <c r="I241" s="156"/>
      <c r="J241" s="156"/>
      <c r="K241" s="26"/>
    </row>
    <row r="242" spans="1:11" s="12" customFormat="1">
      <c r="A242" s="16"/>
      <c r="B242" s="139"/>
      <c r="C242" s="139"/>
      <c r="D242" s="147"/>
      <c r="E242" s="139"/>
      <c r="F242" s="156"/>
      <c r="G242" s="156"/>
      <c r="H242" s="156"/>
      <c r="I242" s="156"/>
      <c r="J242" s="156"/>
      <c r="K242" s="26"/>
    </row>
    <row r="243" spans="1:11" s="12" customFormat="1" ht="22.5">
      <c r="A243" s="16" t="s">
        <v>461</v>
      </c>
      <c r="B243" s="139">
        <v>92793</v>
      </c>
      <c r="C243" s="139" t="s">
        <v>9</v>
      </c>
      <c r="D243" s="147" t="s">
        <v>1218</v>
      </c>
      <c r="E243" s="139" t="s">
        <v>209</v>
      </c>
      <c r="F243" s="156"/>
      <c r="G243" s="156"/>
      <c r="H243" s="156"/>
      <c r="I243" s="156"/>
      <c r="J243" s="156"/>
      <c r="K243" s="27">
        <v>348</v>
      </c>
    </row>
    <row r="244" spans="1:11" s="12" customFormat="1" ht="22.5">
      <c r="A244" s="16"/>
      <c r="B244" s="139"/>
      <c r="C244" s="139"/>
      <c r="D244" s="147" t="s">
        <v>1430</v>
      </c>
      <c r="E244" s="139"/>
      <c r="F244" s="156"/>
      <c r="G244" s="156"/>
      <c r="H244" s="156"/>
      <c r="I244" s="156"/>
      <c r="J244" s="156"/>
      <c r="K244" s="26"/>
    </row>
    <row r="245" spans="1:11" s="12" customFormat="1">
      <c r="A245" s="16"/>
      <c r="B245" s="139"/>
      <c r="C245" s="139"/>
      <c r="D245" s="147"/>
      <c r="E245" s="139"/>
      <c r="F245" s="156"/>
      <c r="G245" s="156"/>
      <c r="H245" s="156"/>
      <c r="I245" s="156"/>
      <c r="J245" s="156"/>
      <c r="K245" s="26"/>
    </row>
    <row r="246" spans="1:11" s="12" customFormat="1" ht="33.75">
      <c r="A246" s="16" t="s">
        <v>462</v>
      </c>
      <c r="B246" s="139">
        <v>92794</v>
      </c>
      <c r="C246" s="139" t="s">
        <v>9</v>
      </c>
      <c r="D246" s="147" t="s">
        <v>1219</v>
      </c>
      <c r="E246" s="139" t="s">
        <v>209</v>
      </c>
      <c r="F246" s="156"/>
      <c r="G246" s="156"/>
      <c r="H246" s="156"/>
      <c r="I246" s="156"/>
      <c r="J246" s="156"/>
      <c r="K246" s="27">
        <v>419</v>
      </c>
    </row>
    <row r="247" spans="1:11" s="12" customFormat="1" ht="22.5">
      <c r="A247" s="16"/>
      <c r="B247" s="139"/>
      <c r="C247" s="139"/>
      <c r="D247" s="147" t="s">
        <v>460</v>
      </c>
      <c r="E247" s="139"/>
      <c r="F247" s="156"/>
      <c r="G247" s="156"/>
      <c r="H247" s="156"/>
      <c r="I247" s="156"/>
      <c r="J247" s="156"/>
      <c r="K247" s="26"/>
    </row>
    <row r="248" spans="1:11" s="12" customFormat="1">
      <c r="A248" s="16"/>
      <c r="B248" s="40"/>
      <c r="C248" s="40"/>
      <c r="D248" s="41"/>
      <c r="E248" s="40"/>
      <c r="F248" s="131"/>
      <c r="G248" s="131"/>
      <c r="H248" s="131"/>
      <c r="I248" s="131"/>
      <c r="J248" s="131"/>
      <c r="K248" s="26"/>
    </row>
    <row r="249" spans="1:11" s="12" customFormat="1" ht="33.75">
      <c r="A249" s="16" t="s">
        <v>1179</v>
      </c>
      <c r="B249" s="139">
        <v>94965</v>
      </c>
      <c r="C249" s="139" t="s">
        <v>9</v>
      </c>
      <c r="D249" s="147" t="s">
        <v>1223</v>
      </c>
      <c r="E249" s="139" t="s">
        <v>400</v>
      </c>
      <c r="F249" s="156"/>
      <c r="G249" s="156"/>
      <c r="H249" s="156"/>
      <c r="I249" s="156"/>
      <c r="J249" s="156"/>
      <c r="K249" s="27">
        <f>SUM(K250:K254)</f>
        <v>6.9742500000000005</v>
      </c>
    </row>
    <row r="250" spans="1:11" s="12" customFormat="1">
      <c r="A250" s="16"/>
      <c r="B250" s="139"/>
      <c r="C250" s="139"/>
      <c r="D250" s="148" t="s">
        <v>314</v>
      </c>
      <c r="E250" s="149"/>
      <c r="F250" s="142"/>
      <c r="G250" s="142"/>
      <c r="H250" s="142"/>
      <c r="I250" s="142"/>
      <c r="J250" s="142"/>
      <c r="K250" s="26"/>
    </row>
    <row r="251" spans="1:11" s="12" customFormat="1" ht="22.5">
      <c r="A251" s="16"/>
      <c r="B251" s="139"/>
      <c r="C251" s="139"/>
      <c r="D251" s="147" t="s">
        <v>1431</v>
      </c>
      <c r="E251" s="149"/>
      <c r="F251" s="142">
        <v>0.15</v>
      </c>
      <c r="G251" s="142">
        <v>203.3</v>
      </c>
      <c r="H251" s="142">
        <v>0.15</v>
      </c>
      <c r="I251" s="142"/>
      <c r="J251" s="156"/>
      <c r="K251" s="26">
        <f>(F251*H251)*G251</f>
        <v>4.5742500000000001</v>
      </c>
    </row>
    <row r="252" spans="1:11" s="12" customFormat="1">
      <c r="A252" s="16"/>
      <c r="B252" s="139"/>
      <c r="C252" s="139"/>
      <c r="D252" s="148" t="s">
        <v>312</v>
      </c>
      <c r="E252" s="149"/>
      <c r="F252" s="142"/>
      <c r="G252" s="142"/>
      <c r="H252" s="142"/>
      <c r="I252" s="142"/>
      <c r="J252" s="142"/>
      <c r="K252" s="26"/>
    </row>
    <row r="253" spans="1:11" s="12" customFormat="1">
      <c r="A253" s="16"/>
      <c r="B253" s="139"/>
      <c r="C253" s="139"/>
      <c r="D253" s="147" t="s">
        <v>1428</v>
      </c>
      <c r="E253" s="139"/>
      <c r="F253" s="142">
        <v>0.15</v>
      </c>
      <c r="G253" s="142">
        <v>0.2</v>
      </c>
      <c r="H253" s="142">
        <v>2.5</v>
      </c>
      <c r="I253" s="142">
        <v>16</v>
      </c>
      <c r="J253" s="156"/>
      <c r="K253" s="20">
        <f>(F253*G253*H253)*I253</f>
        <v>1.2</v>
      </c>
    </row>
    <row r="254" spans="1:11" s="12" customFormat="1">
      <c r="A254" s="16"/>
      <c r="B254" s="139"/>
      <c r="C254" s="139"/>
      <c r="D254" s="147" t="s">
        <v>1429</v>
      </c>
      <c r="E254" s="139"/>
      <c r="F254" s="142">
        <v>0.2</v>
      </c>
      <c r="G254" s="142">
        <v>0.4</v>
      </c>
      <c r="H254" s="142">
        <v>5</v>
      </c>
      <c r="I254" s="142">
        <v>3</v>
      </c>
      <c r="J254" s="156"/>
      <c r="K254" s="20">
        <f t="shared" ref="K254" si="11">(F254*G254*H254)*I254</f>
        <v>1.2000000000000002</v>
      </c>
    </row>
    <row r="255" spans="1:11" s="12" customFormat="1">
      <c r="A255" s="16"/>
      <c r="B255" s="40"/>
      <c r="C255" s="40"/>
      <c r="D255" s="41"/>
      <c r="E255" s="40"/>
      <c r="F255" s="131"/>
      <c r="G255" s="131"/>
      <c r="H255" s="131"/>
      <c r="I255" s="131"/>
      <c r="J255" s="131"/>
      <c r="K255" s="26"/>
    </row>
    <row r="256" spans="1:11" s="12" customFormat="1" ht="22.5">
      <c r="A256" s="16" t="s">
        <v>1180</v>
      </c>
      <c r="B256" s="139">
        <v>92873</v>
      </c>
      <c r="C256" s="139" t="s">
        <v>9</v>
      </c>
      <c r="D256" s="147" t="s">
        <v>1221</v>
      </c>
      <c r="E256" s="139" t="s">
        <v>400</v>
      </c>
      <c r="F256" s="142"/>
      <c r="G256" s="142"/>
      <c r="H256" s="142"/>
      <c r="I256" s="142"/>
      <c r="J256" s="142"/>
      <c r="K256" s="27">
        <f>SUM(K258:K261)</f>
        <v>6.9742500000000005</v>
      </c>
    </row>
    <row r="257" spans="1:11" s="12" customFormat="1">
      <c r="A257" s="16"/>
      <c r="B257" s="40"/>
      <c r="C257" s="40"/>
      <c r="D257" s="148" t="s">
        <v>314</v>
      </c>
      <c r="E257" s="149"/>
      <c r="F257" s="142"/>
      <c r="G257" s="142"/>
      <c r="H257" s="142"/>
      <c r="I257" s="142"/>
      <c r="J257" s="142"/>
      <c r="K257" s="26"/>
    </row>
    <row r="258" spans="1:11" s="12" customFormat="1" ht="22.5">
      <c r="A258" s="16"/>
      <c r="B258" s="40"/>
      <c r="C258" s="40"/>
      <c r="D258" s="147" t="s">
        <v>1431</v>
      </c>
      <c r="E258" s="149"/>
      <c r="F258" s="142">
        <v>0.15</v>
      </c>
      <c r="G258" s="142">
        <v>203.3</v>
      </c>
      <c r="H258" s="142">
        <v>0.15</v>
      </c>
      <c r="I258" s="142"/>
      <c r="J258" s="156"/>
      <c r="K258" s="26">
        <f>(F258*H258)*G258</f>
        <v>4.5742500000000001</v>
      </c>
    </row>
    <row r="259" spans="1:11" s="12" customFormat="1">
      <c r="A259" s="16"/>
      <c r="B259" s="40"/>
      <c r="C259" s="40"/>
      <c r="D259" s="148" t="s">
        <v>312</v>
      </c>
      <c r="E259" s="149"/>
      <c r="F259" s="142"/>
      <c r="G259" s="142"/>
      <c r="H259" s="142"/>
      <c r="I259" s="142"/>
      <c r="J259" s="142"/>
      <c r="K259" s="26"/>
    </row>
    <row r="260" spans="1:11" s="12" customFormat="1">
      <c r="A260" s="16"/>
      <c r="B260" s="40"/>
      <c r="C260" s="40"/>
      <c r="D260" s="147" t="s">
        <v>1428</v>
      </c>
      <c r="E260" s="139"/>
      <c r="F260" s="142">
        <v>0.15</v>
      </c>
      <c r="G260" s="142">
        <v>0.2</v>
      </c>
      <c r="H260" s="142">
        <v>2.5</v>
      </c>
      <c r="I260" s="142">
        <v>16</v>
      </c>
      <c r="J260" s="156"/>
      <c r="K260" s="20">
        <f>(F260*G260*H260)*I260</f>
        <v>1.2</v>
      </c>
    </row>
    <row r="261" spans="1:11" s="12" customFormat="1">
      <c r="A261" s="16"/>
      <c r="B261" s="40"/>
      <c r="C261" s="40"/>
      <c r="D261" s="147" t="s">
        <v>1429</v>
      </c>
      <c r="E261" s="139"/>
      <c r="F261" s="142">
        <v>0.2</v>
      </c>
      <c r="G261" s="142">
        <v>0.4</v>
      </c>
      <c r="H261" s="142">
        <v>5</v>
      </c>
      <c r="I261" s="142">
        <v>3</v>
      </c>
      <c r="J261" s="156"/>
      <c r="K261" s="20">
        <f t="shared" ref="K261" si="12">(F261*G261*H261)*I261</f>
        <v>1.2000000000000002</v>
      </c>
    </row>
    <row r="262" spans="1:11" s="12" customFormat="1">
      <c r="A262" s="16"/>
      <c r="B262" s="139"/>
      <c r="C262" s="139"/>
      <c r="D262" s="147"/>
      <c r="E262" s="139"/>
      <c r="F262" s="142"/>
      <c r="G262" s="142"/>
      <c r="H262" s="142"/>
      <c r="I262" s="142"/>
      <c r="J262" s="142"/>
      <c r="K262" s="20"/>
    </row>
    <row r="263" spans="1:11">
      <c r="A263" s="119" t="s">
        <v>41</v>
      </c>
      <c r="B263" s="176"/>
      <c r="C263" s="176"/>
      <c r="D263" s="177" t="s">
        <v>34</v>
      </c>
      <c r="E263" s="178"/>
      <c r="F263" s="175"/>
      <c r="G263" s="175"/>
      <c r="H263" s="175"/>
      <c r="I263" s="175"/>
      <c r="J263" s="175"/>
      <c r="K263" s="120"/>
    </row>
    <row r="264" spans="1:11">
      <c r="A264" s="46"/>
      <c r="B264" s="191"/>
      <c r="C264" s="191"/>
      <c r="D264" s="192" t="s">
        <v>35</v>
      </c>
      <c r="E264" s="155"/>
      <c r="F264" s="142"/>
      <c r="G264" s="142"/>
      <c r="H264" s="142"/>
      <c r="I264" s="142"/>
      <c r="J264" s="142"/>
      <c r="K264" s="20"/>
    </row>
    <row r="265" spans="1:11" ht="67.5">
      <c r="A265" s="17" t="s">
        <v>43</v>
      </c>
      <c r="B265" s="149" t="s">
        <v>463</v>
      </c>
      <c r="C265" s="151" t="s">
        <v>133</v>
      </c>
      <c r="D265" s="150" t="s">
        <v>1293</v>
      </c>
      <c r="E265" s="163" t="s">
        <v>126</v>
      </c>
      <c r="F265" s="156"/>
      <c r="G265" s="156"/>
      <c r="H265" s="156"/>
      <c r="I265" s="156"/>
      <c r="J265" s="156"/>
      <c r="K265" s="27">
        <f>K266</f>
        <v>18</v>
      </c>
    </row>
    <row r="266" spans="1:11" ht="22.5">
      <c r="A266" s="17"/>
      <c r="B266" s="149"/>
      <c r="C266" s="151"/>
      <c r="D266" s="147" t="s">
        <v>1298</v>
      </c>
      <c r="E266" s="163"/>
      <c r="F266" s="156"/>
      <c r="G266" s="156"/>
      <c r="H266" s="156"/>
      <c r="I266" s="156"/>
      <c r="J266" s="156"/>
      <c r="K266" s="26">
        <v>18</v>
      </c>
    </row>
    <row r="267" spans="1:11">
      <c r="A267" s="17"/>
      <c r="B267" s="149"/>
      <c r="C267" s="151"/>
      <c r="D267" s="150"/>
      <c r="E267" s="163"/>
      <c r="F267" s="156"/>
      <c r="G267" s="156"/>
      <c r="H267" s="156"/>
      <c r="I267" s="156"/>
      <c r="J267" s="156"/>
      <c r="K267" s="26"/>
    </row>
    <row r="268" spans="1:11">
      <c r="A268" s="19"/>
      <c r="B268" s="149"/>
      <c r="C268" s="193"/>
      <c r="D268" s="192" t="s">
        <v>38</v>
      </c>
      <c r="E268" s="163"/>
      <c r="F268" s="156"/>
      <c r="G268" s="156"/>
      <c r="H268" s="156"/>
      <c r="I268" s="156"/>
      <c r="J268" s="156"/>
      <c r="K268" s="26"/>
    </row>
    <row r="269" spans="1:11" ht="33.75">
      <c r="A269" s="17" t="s">
        <v>44</v>
      </c>
      <c r="B269" s="149">
        <v>91341</v>
      </c>
      <c r="C269" s="149" t="s">
        <v>9</v>
      </c>
      <c r="D269" s="150" t="s">
        <v>1294</v>
      </c>
      <c r="E269" s="163" t="s">
        <v>208</v>
      </c>
      <c r="F269" s="156"/>
      <c r="G269" s="156"/>
      <c r="H269" s="156"/>
      <c r="I269" s="156"/>
      <c r="J269" s="156"/>
      <c r="K269" s="27">
        <f>SUM(K270:K273)</f>
        <v>38.85</v>
      </c>
    </row>
    <row r="270" spans="1:11">
      <c r="A270" s="17"/>
      <c r="B270" s="149"/>
      <c r="C270" s="149"/>
      <c r="D270" s="150" t="s">
        <v>464</v>
      </c>
      <c r="E270" s="163"/>
      <c r="F270" s="156">
        <v>0.9</v>
      </c>
      <c r="G270" s="156"/>
      <c r="H270" s="156">
        <v>2.1</v>
      </c>
      <c r="I270" s="156">
        <v>1</v>
      </c>
      <c r="J270" s="156"/>
      <c r="K270" s="26">
        <f>(F270*H270)*I270</f>
        <v>1.8900000000000001</v>
      </c>
    </row>
    <row r="271" spans="1:11" ht="22.5">
      <c r="A271" s="17"/>
      <c r="B271" s="149"/>
      <c r="C271" s="149"/>
      <c r="D271" s="147" t="s">
        <v>345</v>
      </c>
      <c r="E271" s="163"/>
      <c r="F271" s="156">
        <v>0.9</v>
      </c>
      <c r="G271" s="156"/>
      <c r="H271" s="156">
        <v>2.1</v>
      </c>
      <c r="I271" s="156">
        <v>14</v>
      </c>
      <c r="J271" s="156"/>
      <c r="K271" s="26">
        <f t="shared" ref="K271:K292" si="13">(F271*H271)*I271</f>
        <v>26.46</v>
      </c>
    </row>
    <row r="272" spans="1:11">
      <c r="A272" s="17"/>
      <c r="B272" s="149"/>
      <c r="C272" s="149"/>
      <c r="D272" s="150" t="s">
        <v>440</v>
      </c>
      <c r="E272" s="163"/>
      <c r="F272" s="156">
        <v>0.6</v>
      </c>
      <c r="G272" s="156"/>
      <c r="H272" s="156">
        <v>2.1</v>
      </c>
      <c r="I272" s="156">
        <v>7</v>
      </c>
      <c r="J272" s="156"/>
      <c r="K272" s="26">
        <f t="shared" si="13"/>
        <v>8.82</v>
      </c>
    </row>
    <row r="273" spans="1:11">
      <c r="A273" s="17"/>
      <c r="B273" s="149"/>
      <c r="C273" s="149"/>
      <c r="D273" s="150" t="s">
        <v>1300</v>
      </c>
      <c r="E273" s="163"/>
      <c r="F273" s="156">
        <v>0.8</v>
      </c>
      <c r="G273" s="156"/>
      <c r="H273" s="156">
        <v>2.1</v>
      </c>
      <c r="I273" s="156">
        <v>1</v>
      </c>
      <c r="J273" s="156"/>
      <c r="K273" s="26">
        <f t="shared" si="13"/>
        <v>1.6800000000000002</v>
      </c>
    </row>
    <row r="274" spans="1:11">
      <c r="A274" s="17"/>
      <c r="B274" s="149"/>
      <c r="C274" s="149"/>
      <c r="D274" s="150"/>
      <c r="E274" s="163"/>
      <c r="F274" s="194"/>
      <c r="G274" s="194"/>
      <c r="H274" s="194"/>
      <c r="I274" s="194"/>
      <c r="J274" s="156"/>
      <c r="K274" s="26"/>
    </row>
    <row r="275" spans="1:11" ht="22.5">
      <c r="A275" s="17" t="s">
        <v>346</v>
      </c>
      <c r="B275" s="149">
        <v>100701</v>
      </c>
      <c r="C275" s="149" t="s">
        <v>9</v>
      </c>
      <c r="D275" s="150" t="s">
        <v>1295</v>
      </c>
      <c r="E275" s="163" t="s">
        <v>208</v>
      </c>
      <c r="F275" s="156"/>
      <c r="G275" s="156"/>
      <c r="H275" s="156"/>
      <c r="I275" s="156"/>
      <c r="J275" s="156"/>
      <c r="K275" s="27">
        <f>SUM(K276:K278)</f>
        <v>6.8130000000000006</v>
      </c>
    </row>
    <row r="276" spans="1:11">
      <c r="A276" s="17"/>
      <c r="B276" s="149"/>
      <c r="C276" s="149"/>
      <c r="D276" s="150" t="s">
        <v>1301</v>
      </c>
      <c r="E276" s="163"/>
      <c r="F276" s="156">
        <v>1.5</v>
      </c>
      <c r="G276" s="156"/>
      <c r="H276" s="156">
        <v>1.5</v>
      </c>
      <c r="I276" s="156">
        <v>1</v>
      </c>
      <c r="J276" s="156"/>
      <c r="K276" s="26">
        <f t="shared" si="13"/>
        <v>2.25</v>
      </c>
    </row>
    <row r="277" spans="1:11">
      <c r="A277" s="17"/>
      <c r="B277" s="149"/>
      <c r="C277" s="149"/>
      <c r="D277" s="150" t="s">
        <v>1302</v>
      </c>
      <c r="E277" s="163"/>
      <c r="F277" s="156">
        <v>0.9</v>
      </c>
      <c r="G277" s="156"/>
      <c r="H277" s="156">
        <v>2.2000000000000002</v>
      </c>
      <c r="I277" s="156">
        <v>1</v>
      </c>
      <c r="J277" s="156"/>
      <c r="K277" s="26">
        <f t="shared" si="13"/>
        <v>1.9800000000000002</v>
      </c>
    </row>
    <row r="278" spans="1:11">
      <c r="A278" s="17"/>
      <c r="B278" s="149"/>
      <c r="C278" s="149"/>
      <c r="D278" s="150" t="s">
        <v>1303</v>
      </c>
      <c r="E278" s="163"/>
      <c r="F278" s="156">
        <v>1.23</v>
      </c>
      <c r="G278" s="156"/>
      <c r="H278" s="156">
        <v>2.1</v>
      </c>
      <c r="I278" s="156">
        <v>1</v>
      </c>
      <c r="J278" s="156"/>
      <c r="K278" s="26">
        <f t="shared" si="13"/>
        <v>2.5830000000000002</v>
      </c>
    </row>
    <row r="279" spans="1:11">
      <c r="A279" s="17"/>
      <c r="B279" s="149"/>
      <c r="C279" s="149"/>
      <c r="D279" s="150"/>
      <c r="E279" s="163"/>
      <c r="F279" s="156"/>
      <c r="G279" s="156"/>
      <c r="H279" s="156"/>
      <c r="I279" s="156"/>
      <c r="J279" s="156"/>
      <c r="K279" s="26"/>
    </row>
    <row r="280" spans="1:11">
      <c r="A280" s="17"/>
      <c r="B280" s="149"/>
      <c r="C280" s="149"/>
      <c r="D280" s="148" t="s">
        <v>39</v>
      </c>
      <c r="E280" s="163"/>
      <c r="F280" s="156"/>
      <c r="G280" s="156"/>
      <c r="H280" s="156"/>
      <c r="I280" s="156"/>
      <c r="J280" s="156"/>
      <c r="K280" s="26"/>
    </row>
    <row r="281" spans="1:11" ht="33.75">
      <c r="A281" s="17" t="s">
        <v>349</v>
      </c>
      <c r="B281" s="149">
        <v>100674</v>
      </c>
      <c r="C281" s="149" t="s">
        <v>9</v>
      </c>
      <c r="D281" s="150" t="s">
        <v>665</v>
      </c>
      <c r="E281" s="163" t="s">
        <v>208</v>
      </c>
      <c r="F281" s="156"/>
      <c r="G281" s="156"/>
      <c r="H281" s="156"/>
      <c r="I281" s="156"/>
      <c r="J281" s="156"/>
      <c r="K281" s="27">
        <f>SUM(K282:K286)</f>
        <v>28.52</v>
      </c>
    </row>
    <row r="282" spans="1:11">
      <c r="A282" s="17"/>
      <c r="B282" s="149"/>
      <c r="C282" s="149"/>
      <c r="D282" s="150" t="s">
        <v>237</v>
      </c>
      <c r="E282" s="163"/>
      <c r="F282" s="156">
        <v>1</v>
      </c>
      <c r="G282" s="156"/>
      <c r="H282" s="156">
        <v>0.5</v>
      </c>
      <c r="I282" s="156">
        <v>4</v>
      </c>
      <c r="J282" s="156"/>
      <c r="K282" s="26">
        <f t="shared" si="13"/>
        <v>2</v>
      </c>
    </row>
    <row r="283" spans="1:11">
      <c r="A283" s="17"/>
      <c r="B283" s="149"/>
      <c r="C283" s="149"/>
      <c r="D283" s="150" t="s">
        <v>238</v>
      </c>
      <c r="E283" s="163"/>
      <c r="F283" s="156">
        <v>1.5</v>
      </c>
      <c r="G283" s="156"/>
      <c r="H283" s="156">
        <v>0.5</v>
      </c>
      <c r="I283" s="156">
        <v>31</v>
      </c>
      <c r="J283" s="156"/>
      <c r="K283" s="26">
        <f t="shared" si="13"/>
        <v>23.25</v>
      </c>
    </row>
    <row r="284" spans="1:11">
      <c r="A284" s="17"/>
      <c r="B284" s="149"/>
      <c r="C284" s="149"/>
      <c r="D284" s="150" t="s">
        <v>239</v>
      </c>
      <c r="E284" s="163"/>
      <c r="F284" s="156">
        <v>1.5</v>
      </c>
      <c r="G284" s="156"/>
      <c r="H284" s="156">
        <v>0.5</v>
      </c>
      <c r="I284" s="156">
        <v>1</v>
      </c>
      <c r="J284" s="156"/>
      <c r="K284" s="26">
        <f t="shared" si="13"/>
        <v>0.75</v>
      </c>
    </row>
    <row r="285" spans="1:11">
      <c r="A285" s="17"/>
      <c r="B285" s="149"/>
      <c r="C285" s="149"/>
      <c r="D285" s="150" t="s">
        <v>240</v>
      </c>
      <c r="E285" s="163"/>
      <c r="F285" s="156">
        <v>0.9</v>
      </c>
      <c r="G285" s="156"/>
      <c r="H285" s="156">
        <v>1.2</v>
      </c>
      <c r="I285" s="156">
        <v>1</v>
      </c>
      <c r="J285" s="156"/>
      <c r="K285" s="26">
        <f t="shared" si="13"/>
        <v>1.08</v>
      </c>
    </row>
    <row r="286" spans="1:11">
      <c r="A286" s="17"/>
      <c r="B286" s="149"/>
      <c r="C286" s="149"/>
      <c r="D286" s="150" t="s">
        <v>350</v>
      </c>
      <c r="E286" s="163"/>
      <c r="F286" s="156">
        <v>1.2</v>
      </c>
      <c r="G286" s="156"/>
      <c r="H286" s="156">
        <v>1.2</v>
      </c>
      <c r="I286" s="156">
        <v>1</v>
      </c>
      <c r="J286" s="156"/>
      <c r="K286" s="26">
        <f t="shared" si="13"/>
        <v>1.44</v>
      </c>
    </row>
    <row r="287" spans="1:11">
      <c r="A287" s="17"/>
      <c r="B287" s="149"/>
      <c r="C287" s="149"/>
      <c r="D287" s="150"/>
      <c r="E287" s="163"/>
      <c r="F287" s="156"/>
      <c r="G287" s="156"/>
      <c r="H287" s="156"/>
      <c r="I287" s="156"/>
      <c r="J287" s="156"/>
      <c r="K287" s="26"/>
    </row>
    <row r="288" spans="1:11" ht="45">
      <c r="A288" s="17" t="s">
        <v>347</v>
      </c>
      <c r="B288" s="144">
        <v>94570</v>
      </c>
      <c r="C288" s="144" t="s">
        <v>348</v>
      </c>
      <c r="D288" s="150" t="s">
        <v>1296</v>
      </c>
      <c r="E288" s="163" t="s">
        <v>208</v>
      </c>
      <c r="F288" s="156"/>
      <c r="G288" s="156"/>
      <c r="H288" s="156"/>
      <c r="I288" s="156"/>
      <c r="J288" s="156"/>
      <c r="K288" s="27">
        <f>SUM(K289:K292)</f>
        <v>37.710000000000015</v>
      </c>
    </row>
    <row r="289" spans="1:11">
      <c r="A289" s="17"/>
      <c r="B289" s="149"/>
      <c r="C289" s="149"/>
      <c r="D289" s="150" t="s">
        <v>351</v>
      </c>
      <c r="E289" s="163"/>
      <c r="F289" s="156">
        <v>3</v>
      </c>
      <c r="G289" s="156"/>
      <c r="H289" s="156">
        <v>1.6</v>
      </c>
      <c r="I289" s="156">
        <v>7</v>
      </c>
      <c r="J289" s="156"/>
      <c r="K289" s="26">
        <f t="shared" si="13"/>
        <v>33.600000000000009</v>
      </c>
    </row>
    <row r="290" spans="1:11">
      <c r="A290" s="17"/>
      <c r="B290" s="149"/>
      <c r="C290" s="149"/>
      <c r="D290" s="150" t="s">
        <v>352</v>
      </c>
      <c r="E290" s="163"/>
      <c r="F290" s="156">
        <v>2</v>
      </c>
      <c r="G290" s="156"/>
      <c r="H290" s="156">
        <v>1.1000000000000001</v>
      </c>
      <c r="I290" s="156">
        <v>1</v>
      </c>
      <c r="J290" s="156"/>
      <c r="K290" s="26">
        <f t="shared" si="13"/>
        <v>2.2000000000000002</v>
      </c>
    </row>
    <row r="291" spans="1:11">
      <c r="A291" s="17"/>
      <c r="B291" s="149"/>
      <c r="C291" s="149"/>
      <c r="D291" s="150" t="s">
        <v>353</v>
      </c>
      <c r="E291" s="163"/>
      <c r="F291" s="156">
        <v>1</v>
      </c>
      <c r="G291" s="156"/>
      <c r="H291" s="156">
        <v>1.1000000000000001</v>
      </c>
      <c r="I291" s="156">
        <v>1</v>
      </c>
      <c r="J291" s="156"/>
      <c r="K291" s="26">
        <f t="shared" si="13"/>
        <v>1.1000000000000001</v>
      </c>
    </row>
    <row r="292" spans="1:11">
      <c r="A292" s="17"/>
      <c r="B292" s="149"/>
      <c r="C292" s="149"/>
      <c r="D292" s="150" t="s">
        <v>355</v>
      </c>
      <c r="E292" s="163"/>
      <c r="F292" s="156">
        <v>0.9</v>
      </c>
      <c r="G292" s="156"/>
      <c r="H292" s="156">
        <v>0.9</v>
      </c>
      <c r="I292" s="156">
        <v>1</v>
      </c>
      <c r="J292" s="156"/>
      <c r="K292" s="26">
        <f t="shared" si="13"/>
        <v>0.81</v>
      </c>
    </row>
    <row r="293" spans="1:11">
      <c r="A293" s="19"/>
      <c r="B293" s="149"/>
      <c r="C293" s="149"/>
      <c r="D293" s="165"/>
      <c r="E293" s="148"/>
      <c r="F293" s="156"/>
      <c r="G293" s="156"/>
      <c r="H293" s="156"/>
      <c r="I293" s="156"/>
      <c r="J293" s="156"/>
      <c r="K293" s="26"/>
    </row>
    <row r="294" spans="1:11" ht="22.5">
      <c r="A294" s="17" t="s">
        <v>359</v>
      </c>
      <c r="B294" s="139" t="s">
        <v>410</v>
      </c>
      <c r="C294" s="139" t="s">
        <v>133</v>
      </c>
      <c r="D294" s="150" t="s">
        <v>671</v>
      </c>
      <c r="E294" s="163" t="s">
        <v>208</v>
      </c>
      <c r="F294" s="156"/>
      <c r="G294" s="156"/>
      <c r="H294" s="156"/>
      <c r="I294" s="156"/>
      <c r="J294" s="156"/>
      <c r="K294" s="27">
        <f>SUM(K295:K298)</f>
        <v>31.6</v>
      </c>
    </row>
    <row r="295" spans="1:11">
      <c r="A295" s="17"/>
      <c r="B295" s="149"/>
      <c r="C295" s="149"/>
      <c r="D295" s="150" t="s">
        <v>354</v>
      </c>
      <c r="E295" s="163"/>
      <c r="F295" s="156">
        <v>2</v>
      </c>
      <c r="G295" s="156"/>
      <c r="H295" s="156">
        <v>1.35</v>
      </c>
      <c r="I295" s="156">
        <v>2</v>
      </c>
      <c r="J295" s="156"/>
      <c r="K295" s="26">
        <f>(F295*H295)*I295</f>
        <v>5.4</v>
      </c>
    </row>
    <row r="296" spans="1:11">
      <c r="A296" s="17"/>
      <c r="B296" s="149"/>
      <c r="C296" s="149"/>
      <c r="D296" s="150" t="s">
        <v>356</v>
      </c>
      <c r="E296" s="163"/>
      <c r="F296" s="156">
        <v>2</v>
      </c>
      <c r="G296" s="156"/>
      <c r="H296" s="156">
        <v>1.1000000000000001</v>
      </c>
      <c r="I296" s="156">
        <v>6</v>
      </c>
      <c r="J296" s="156"/>
      <c r="K296" s="26">
        <f t="shared" ref="K296:K298" si="14">(F296*H296)*I296</f>
        <v>13.200000000000001</v>
      </c>
    </row>
    <row r="297" spans="1:11">
      <c r="A297" s="17"/>
      <c r="B297" s="149"/>
      <c r="C297" s="149"/>
      <c r="D297" s="150" t="s">
        <v>357</v>
      </c>
      <c r="E297" s="163"/>
      <c r="F297" s="156">
        <v>3</v>
      </c>
      <c r="G297" s="156"/>
      <c r="H297" s="156">
        <v>1.1000000000000001</v>
      </c>
      <c r="I297" s="156">
        <v>2</v>
      </c>
      <c r="J297" s="156"/>
      <c r="K297" s="26">
        <f t="shared" si="14"/>
        <v>6.6000000000000005</v>
      </c>
    </row>
    <row r="298" spans="1:11">
      <c r="A298" s="17"/>
      <c r="B298" s="149"/>
      <c r="C298" s="149"/>
      <c r="D298" s="150" t="s">
        <v>358</v>
      </c>
      <c r="E298" s="163"/>
      <c r="F298" s="156">
        <v>1</v>
      </c>
      <c r="G298" s="156"/>
      <c r="H298" s="156">
        <v>1.6</v>
      </c>
      <c r="I298" s="156">
        <v>4</v>
      </c>
      <c r="J298" s="156"/>
      <c r="K298" s="26">
        <f t="shared" si="14"/>
        <v>6.4</v>
      </c>
    </row>
    <row r="299" spans="1:11">
      <c r="A299" s="17"/>
      <c r="B299" s="149"/>
      <c r="C299" s="149"/>
      <c r="D299" s="150"/>
      <c r="E299" s="163"/>
      <c r="F299" s="156"/>
      <c r="G299" s="156"/>
      <c r="H299" s="156"/>
      <c r="I299" s="156"/>
      <c r="J299" s="156"/>
      <c r="K299" s="26"/>
    </row>
    <row r="300" spans="1:11">
      <c r="A300" s="15"/>
      <c r="B300" s="149"/>
      <c r="C300" s="149"/>
      <c r="D300" s="195" t="s">
        <v>40</v>
      </c>
      <c r="E300" s="149"/>
      <c r="F300" s="156"/>
      <c r="G300" s="156"/>
      <c r="H300" s="156"/>
      <c r="I300" s="156"/>
      <c r="J300" s="156"/>
      <c r="K300" s="26"/>
    </row>
    <row r="301" spans="1:11" ht="22.5">
      <c r="A301" s="17" t="s">
        <v>360</v>
      </c>
      <c r="B301" s="427">
        <v>102166</v>
      </c>
      <c r="C301" s="149" t="s">
        <v>9</v>
      </c>
      <c r="D301" s="150" t="s">
        <v>1297</v>
      </c>
      <c r="E301" s="149" t="s">
        <v>208</v>
      </c>
      <c r="F301" s="156"/>
      <c r="G301" s="156"/>
      <c r="H301" s="156"/>
      <c r="I301" s="156"/>
      <c r="J301" s="156"/>
      <c r="K301" s="27">
        <f>SUM(K302:K303)</f>
        <v>31.07</v>
      </c>
    </row>
    <row r="302" spans="1:11">
      <c r="A302" s="17"/>
      <c r="B302" s="427"/>
      <c r="C302" s="149"/>
      <c r="D302" s="150" t="s">
        <v>137</v>
      </c>
      <c r="E302" s="149"/>
      <c r="F302" s="156"/>
      <c r="G302" s="156"/>
      <c r="H302" s="156"/>
      <c r="I302" s="156"/>
      <c r="J302" s="156"/>
      <c r="K302" s="26">
        <v>25.6</v>
      </c>
    </row>
    <row r="303" spans="1:11">
      <c r="A303" s="17"/>
      <c r="B303" s="427"/>
      <c r="C303" s="149"/>
      <c r="D303" s="150" t="s">
        <v>138</v>
      </c>
      <c r="E303" s="149"/>
      <c r="F303" s="156"/>
      <c r="G303" s="156"/>
      <c r="H303" s="156"/>
      <c r="I303" s="156"/>
      <c r="J303" s="156"/>
      <c r="K303" s="26">
        <v>5.47</v>
      </c>
    </row>
    <row r="304" spans="1:11">
      <c r="A304" s="17"/>
      <c r="B304" s="440"/>
      <c r="C304" s="430"/>
      <c r="D304" s="439"/>
      <c r="E304" s="430"/>
      <c r="F304" s="438"/>
      <c r="G304" s="438"/>
      <c r="H304" s="438"/>
      <c r="I304" s="438"/>
      <c r="J304" s="438"/>
      <c r="K304" s="26"/>
    </row>
    <row r="305" spans="1:13" ht="22.5">
      <c r="A305" s="17" t="s">
        <v>1535</v>
      </c>
      <c r="B305" s="440" t="s">
        <v>1532</v>
      </c>
      <c r="C305" s="430" t="s">
        <v>9</v>
      </c>
      <c r="D305" s="439" t="s">
        <v>1533</v>
      </c>
      <c r="E305" s="430" t="s">
        <v>208</v>
      </c>
      <c r="F305" s="438"/>
      <c r="G305" s="438"/>
      <c r="H305" s="438"/>
      <c r="I305" s="438"/>
      <c r="J305" s="438"/>
      <c r="K305" s="27">
        <f>SUM(K306:K307)</f>
        <v>20.399999999999999</v>
      </c>
      <c r="M305" s="7" t="s">
        <v>1531</v>
      </c>
    </row>
    <row r="306" spans="1:13">
      <c r="A306" s="17"/>
      <c r="B306" s="440"/>
      <c r="C306" s="430"/>
      <c r="D306" s="439" t="s">
        <v>1534</v>
      </c>
      <c r="E306" s="430"/>
      <c r="F306" s="438"/>
      <c r="G306" s="438">
        <v>2.85</v>
      </c>
      <c r="H306" s="438">
        <v>0.5</v>
      </c>
      <c r="I306" s="438">
        <v>8</v>
      </c>
      <c r="J306" s="438"/>
      <c r="K306" s="26">
        <f>(G306*H306)*I306</f>
        <v>11.4</v>
      </c>
    </row>
    <row r="307" spans="1:13">
      <c r="A307" s="17"/>
      <c r="B307" s="440"/>
      <c r="C307" s="430"/>
      <c r="D307" s="439"/>
      <c r="E307" s="430"/>
      <c r="F307" s="438"/>
      <c r="G307" s="438">
        <v>2.25</v>
      </c>
      <c r="H307" s="438">
        <v>0.5</v>
      </c>
      <c r="I307" s="438">
        <v>8</v>
      </c>
      <c r="J307" s="438"/>
      <c r="K307" s="26">
        <f>(G307*H307)*I307</f>
        <v>9</v>
      </c>
    </row>
    <row r="308" spans="1:13">
      <c r="A308" s="17"/>
      <c r="B308" s="427"/>
      <c r="C308" s="149"/>
      <c r="D308" s="150"/>
      <c r="E308" s="149"/>
      <c r="F308" s="156"/>
      <c r="G308" s="156"/>
      <c r="H308" s="156"/>
      <c r="I308" s="156"/>
      <c r="J308" s="156"/>
      <c r="K308" s="26"/>
    </row>
    <row r="309" spans="1:13">
      <c r="A309" s="119" t="s">
        <v>45</v>
      </c>
      <c r="B309" s="176"/>
      <c r="C309" s="176"/>
      <c r="D309" s="177" t="s">
        <v>42</v>
      </c>
      <c r="E309" s="178"/>
      <c r="F309" s="175"/>
      <c r="G309" s="175"/>
      <c r="H309" s="175"/>
      <c r="I309" s="175"/>
      <c r="J309" s="175"/>
      <c r="K309" s="120"/>
    </row>
    <row r="310" spans="1:13" s="12" customFormat="1" ht="45">
      <c r="A310" s="16" t="s">
        <v>46</v>
      </c>
      <c r="B310" s="161" t="s">
        <v>1433</v>
      </c>
      <c r="C310" s="151" t="s">
        <v>9</v>
      </c>
      <c r="D310" s="147" t="s">
        <v>1304</v>
      </c>
      <c r="E310" s="155" t="s">
        <v>126</v>
      </c>
      <c r="F310" s="142"/>
      <c r="G310" s="400"/>
      <c r="H310" s="142"/>
      <c r="I310" s="142"/>
      <c r="J310" s="142"/>
      <c r="K310" s="21">
        <f>K311</f>
        <v>5</v>
      </c>
    </row>
    <row r="311" spans="1:13" s="12" customFormat="1">
      <c r="A311" s="16"/>
      <c r="B311" s="161"/>
      <c r="C311" s="151"/>
      <c r="D311" s="150" t="s">
        <v>1436</v>
      </c>
      <c r="E311" s="155"/>
      <c r="F311" s="142"/>
      <c r="G311" s="400">
        <v>5.96</v>
      </c>
      <c r="H311" s="142"/>
      <c r="I311" s="142">
        <v>5</v>
      </c>
      <c r="J311" s="142"/>
      <c r="K311" s="20">
        <f>I311</f>
        <v>5</v>
      </c>
    </row>
    <row r="312" spans="1:13" s="12" customFormat="1">
      <c r="A312" s="16"/>
      <c r="B312" s="161"/>
      <c r="C312" s="151"/>
      <c r="D312" s="150"/>
      <c r="E312" s="155"/>
      <c r="F312" s="142"/>
      <c r="G312" s="400"/>
      <c r="H312" s="142"/>
      <c r="I312" s="142"/>
      <c r="J312" s="142"/>
      <c r="K312" s="20"/>
    </row>
    <row r="313" spans="1:13" s="12" customFormat="1" ht="45">
      <c r="A313" s="16" t="s">
        <v>120</v>
      </c>
      <c r="B313" s="405" t="s">
        <v>1434</v>
      </c>
      <c r="C313" s="401" t="s">
        <v>9</v>
      </c>
      <c r="D313" s="402" t="s">
        <v>1435</v>
      </c>
      <c r="E313" s="155" t="s">
        <v>126</v>
      </c>
      <c r="F313" s="142"/>
      <c r="G313" s="400"/>
      <c r="H313" s="142"/>
      <c r="I313" s="142"/>
      <c r="J313" s="142"/>
      <c r="K313" s="21">
        <f>SUM(K314:K317)</f>
        <v>17</v>
      </c>
      <c r="M313" s="12" t="s">
        <v>1432</v>
      </c>
    </row>
    <row r="314" spans="1:13" s="12" customFormat="1">
      <c r="A314" s="16"/>
      <c r="B314" s="405"/>
      <c r="C314" s="401"/>
      <c r="D314" s="150" t="s">
        <v>1437</v>
      </c>
      <c r="E314" s="155"/>
      <c r="F314" s="142"/>
      <c r="G314" s="400">
        <v>7.29</v>
      </c>
      <c r="H314" s="142"/>
      <c r="I314" s="142">
        <v>2</v>
      </c>
      <c r="J314" s="142"/>
      <c r="K314" s="20">
        <f>I314</f>
        <v>2</v>
      </c>
    </row>
    <row r="315" spans="1:13" s="12" customFormat="1">
      <c r="A315" s="16"/>
      <c r="B315" s="405"/>
      <c r="C315" s="401"/>
      <c r="D315" s="402" t="s">
        <v>1438</v>
      </c>
      <c r="E315" s="403"/>
      <c r="F315" s="397"/>
      <c r="G315" s="404">
        <v>6.6</v>
      </c>
      <c r="H315" s="397"/>
      <c r="I315" s="397">
        <v>5</v>
      </c>
      <c r="J315" s="397"/>
      <c r="K315" s="20">
        <f t="shared" ref="K315:K317" si="15">I315</f>
        <v>5</v>
      </c>
    </row>
    <row r="316" spans="1:13" s="12" customFormat="1">
      <c r="A316" s="16"/>
      <c r="B316" s="405"/>
      <c r="C316" s="401"/>
      <c r="D316" s="402" t="s">
        <v>1439</v>
      </c>
      <c r="E316" s="403"/>
      <c r="F316" s="397"/>
      <c r="G316" s="404">
        <v>6.71</v>
      </c>
      <c r="H316" s="397"/>
      <c r="I316" s="397">
        <v>5</v>
      </c>
      <c r="J316" s="397"/>
      <c r="K316" s="20">
        <f t="shared" si="15"/>
        <v>5</v>
      </c>
    </row>
    <row r="317" spans="1:13" s="12" customFormat="1">
      <c r="A317" s="16"/>
      <c r="B317" s="405"/>
      <c r="C317" s="401"/>
      <c r="D317" s="402" t="s">
        <v>1440</v>
      </c>
      <c r="E317" s="403"/>
      <c r="F317" s="397"/>
      <c r="G317" s="404">
        <v>6.71</v>
      </c>
      <c r="H317" s="397"/>
      <c r="I317" s="397">
        <v>5</v>
      </c>
      <c r="J317" s="397"/>
      <c r="K317" s="20">
        <f t="shared" si="15"/>
        <v>5</v>
      </c>
    </row>
    <row r="318" spans="1:13" s="12" customFormat="1">
      <c r="A318" s="16"/>
      <c r="B318" s="405"/>
      <c r="C318" s="401"/>
      <c r="D318" s="402"/>
      <c r="E318" s="403"/>
      <c r="F318" s="397"/>
      <c r="G318" s="404"/>
      <c r="H318" s="397"/>
      <c r="I318" s="397"/>
      <c r="J318" s="397"/>
      <c r="K318" s="20"/>
    </row>
    <row r="319" spans="1:13" s="12" customFormat="1" ht="45">
      <c r="A319" s="16" t="s">
        <v>121</v>
      </c>
      <c r="B319" s="161" t="s">
        <v>1442</v>
      </c>
      <c r="C319" s="151" t="s">
        <v>9</v>
      </c>
      <c r="D319" s="150" t="s">
        <v>1443</v>
      </c>
      <c r="E319" s="155" t="s">
        <v>126</v>
      </c>
      <c r="F319" s="142"/>
      <c r="G319" s="400"/>
      <c r="H319" s="142"/>
      <c r="I319" s="142"/>
      <c r="J319" s="142"/>
      <c r="K319" s="21">
        <f>SUM(K320:K323)</f>
        <v>26</v>
      </c>
      <c r="M319" s="12" t="s">
        <v>1441</v>
      </c>
    </row>
    <row r="320" spans="1:13" s="12" customFormat="1">
      <c r="A320" s="16"/>
      <c r="B320" s="139"/>
      <c r="C320" s="151"/>
      <c r="D320" s="150" t="s">
        <v>1444</v>
      </c>
      <c r="E320" s="155"/>
      <c r="F320" s="142"/>
      <c r="G320" s="400">
        <v>8.91</v>
      </c>
      <c r="H320" s="142"/>
      <c r="I320" s="142">
        <v>7</v>
      </c>
      <c r="J320" s="142"/>
      <c r="K320" s="20">
        <f>I320</f>
        <v>7</v>
      </c>
    </row>
    <row r="321" spans="1:11" s="12" customFormat="1">
      <c r="A321" s="16"/>
      <c r="B321" s="395"/>
      <c r="C321" s="401"/>
      <c r="D321" s="402" t="s">
        <v>1445</v>
      </c>
      <c r="E321" s="403"/>
      <c r="F321" s="397"/>
      <c r="G321" s="404">
        <v>9.41</v>
      </c>
      <c r="H321" s="397"/>
      <c r="I321" s="397">
        <v>7</v>
      </c>
      <c r="J321" s="397"/>
      <c r="K321" s="20">
        <f t="shared" ref="K321:K323" si="16">I321</f>
        <v>7</v>
      </c>
    </row>
    <row r="322" spans="1:11" s="12" customFormat="1">
      <c r="A322" s="16"/>
      <c r="B322" s="395"/>
      <c r="C322" s="401"/>
      <c r="D322" s="402" t="s">
        <v>1446</v>
      </c>
      <c r="E322" s="403"/>
      <c r="F322" s="397"/>
      <c r="G322" s="404">
        <v>9.2899999999999991</v>
      </c>
      <c r="H322" s="397"/>
      <c r="I322" s="397">
        <v>7</v>
      </c>
      <c r="J322" s="397"/>
      <c r="K322" s="20">
        <f t="shared" si="16"/>
        <v>7</v>
      </c>
    </row>
    <row r="323" spans="1:11" s="12" customFormat="1">
      <c r="A323" s="16"/>
      <c r="B323" s="395"/>
      <c r="C323" s="401"/>
      <c r="D323" s="402" t="s">
        <v>1447</v>
      </c>
      <c r="E323" s="403"/>
      <c r="F323" s="397"/>
      <c r="G323" s="404">
        <v>8.74</v>
      </c>
      <c r="H323" s="397"/>
      <c r="I323" s="397">
        <v>5</v>
      </c>
      <c r="J323" s="397"/>
      <c r="K323" s="20">
        <f t="shared" si="16"/>
        <v>5</v>
      </c>
    </row>
    <row r="324" spans="1:11" s="12" customFormat="1">
      <c r="A324" s="16"/>
      <c r="B324" s="139"/>
      <c r="C324" s="151"/>
      <c r="D324" s="150"/>
      <c r="E324" s="155"/>
      <c r="F324" s="142"/>
      <c r="G324" s="400"/>
      <c r="H324" s="142"/>
      <c r="I324" s="142"/>
      <c r="J324" s="142"/>
      <c r="K324" s="20"/>
    </row>
    <row r="325" spans="1:11" s="12" customFormat="1" ht="45">
      <c r="A325" s="16" t="s">
        <v>122</v>
      </c>
      <c r="B325" s="139">
        <v>92616</v>
      </c>
      <c r="C325" s="151" t="s">
        <v>9</v>
      </c>
      <c r="D325" s="150" t="s">
        <v>1305</v>
      </c>
      <c r="E325" s="155" t="s">
        <v>126</v>
      </c>
      <c r="F325" s="142"/>
      <c r="G325" s="400"/>
      <c r="H325" s="142"/>
      <c r="I325" s="142"/>
      <c r="J325" s="142"/>
      <c r="K325" s="21">
        <f>SUM(K326:K327)</f>
        <v>8</v>
      </c>
    </row>
    <row r="326" spans="1:11" s="12" customFormat="1">
      <c r="A326" s="16"/>
      <c r="B326" s="139"/>
      <c r="C326" s="151"/>
      <c r="D326" s="150" t="s">
        <v>1448</v>
      </c>
      <c r="E326" s="155"/>
      <c r="F326" s="142"/>
      <c r="G326" s="400">
        <v>9.76</v>
      </c>
      <c r="H326" s="142"/>
      <c r="I326" s="142">
        <v>5</v>
      </c>
      <c r="J326" s="142"/>
      <c r="K326" s="20">
        <f>I326</f>
        <v>5</v>
      </c>
    </row>
    <row r="327" spans="1:11" s="12" customFormat="1">
      <c r="A327" s="16"/>
      <c r="B327" s="139"/>
      <c r="C327" s="151"/>
      <c r="D327" s="150" t="s">
        <v>1449</v>
      </c>
      <c r="E327" s="155"/>
      <c r="F327" s="142"/>
      <c r="G327" s="400">
        <v>10.9</v>
      </c>
      <c r="H327" s="142"/>
      <c r="I327" s="142">
        <v>3</v>
      </c>
      <c r="J327" s="142"/>
      <c r="K327" s="20">
        <f>I327</f>
        <v>3</v>
      </c>
    </row>
    <row r="328" spans="1:11" s="12" customFormat="1">
      <c r="A328" s="16"/>
      <c r="B328" s="139"/>
      <c r="C328" s="151"/>
      <c r="D328" s="150"/>
      <c r="E328" s="155"/>
      <c r="F328" s="142"/>
      <c r="G328" s="400"/>
      <c r="H328" s="142"/>
      <c r="I328" s="142"/>
      <c r="J328" s="142"/>
      <c r="K328" s="20"/>
    </row>
    <row r="329" spans="1:11" s="12" customFormat="1" ht="45">
      <c r="A329" s="16" t="s">
        <v>123</v>
      </c>
      <c r="B329" s="139">
        <v>92580</v>
      </c>
      <c r="C329" s="139" t="s">
        <v>9</v>
      </c>
      <c r="D329" s="147" t="s">
        <v>1306</v>
      </c>
      <c r="E329" s="139" t="s">
        <v>208</v>
      </c>
      <c r="F329" s="142"/>
      <c r="G329" s="142"/>
      <c r="H329" s="142"/>
      <c r="I329" s="142"/>
      <c r="J329" s="142"/>
      <c r="K329" s="21">
        <f>SUM(K330:K341)</f>
        <v>1827.9726999999998</v>
      </c>
    </row>
    <row r="330" spans="1:11" s="12" customFormat="1">
      <c r="A330" s="16"/>
      <c r="B330" s="139"/>
      <c r="C330" s="139"/>
      <c r="D330" s="150" t="s">
        <v>1457</v>
      </c>
      <c r="E330" s="153"/>
      <c r="F330" s="142">
        <v>9.75</v>
      </c>
      <c r="G330" s="142">
        <v>16.309999999999999</v>
      </c>
      <c r="H330" s="142"/>
      <c r="I330" s="142"/>
      <c r="J330" s="142"/>
      <c r="K330" s="20">
        <f>F330*G330</f>
        <v>159.02249999999998</v>
      </c>
    </row>
    <row r="331" spans="1:11" s="12" customFormat="1">
      <c r="A331" s="16"/>
      <c r="B331" s="395"/>
      <c r="C331" s="395"/>
      <c r="D331" s="402"/>
      <c r="E331" s="416"/>
      <c r="F331" s="397">
        <v>6.61</v>
      </c>
      <c r="G331" s="397">
        <v>7.28</v>
      </c>
      <c r="H331" s="397"/>
      <c r="I331" s="397"/>
      <c r="J331" s="397"/>
      <c r="K331" s="20">
        <f t="shared" ref="K331:K341" si="17">F331*G331</f>
        <v>48.120800000000003</v>
      </c>
    </row>
    <row r="332" spans="1:11" s="12" customFormat="1">
      <c r="A332" s="16"/>
      <c r="B332" s="139"/>
      <c r="C332" s="139"/>
      <c r="D332" s="147" t="s">
        <v>1458</v>
      </c>
      <c r="E332" s="153"/>
      <c r="F332" s="142">
        <v>8.91</v>
      </c>
      <c r="G332" s="142">
        <v>23.95</v>
      </c>
      <c r="H332" s="142"/>
      <c r="I332" s="142"/>
      <c r="J332" s="142"/>
      <c r="K332" s="20">
        <f t="shared" si="17"/>
        <v>213.39449999999999</v>
      </c>
    </row>
    <row r="333" spans="1:11" s="12" customFormat="1">
      <c r="A333" s="16"/>
      <c r="B333" s="139"/>
      <c r="C333" s="139"/>
      <c r="D333" s="147" t="s">
        <v>1459</v>
      </c>
      <c r="E333" s="153"/>
      <c r="F333" s="142">
        <v>9.41</v>
      </c>
      <c r="G333" s="142">
        <v>27.49</v>
      </c>
      <c r="H333" s="142"/>
      <c r="I333" s="142"/>
      <c r="J333" s="142"/>
      <c r="K333" s="20">
        <f t="shared" si="17"/>
        <v>258.68090000000001</v>
      </c>
    </row>
    <row r="334" spans="1:11" s="12" customFormat="1">
      <c r="A334" s="16"/>
      <c r="B334" s="139"/>
      <c r="C334" s="139"/>
      <c r="D334" s="147" t="s">
        <v>1460</v>
      </c>
      <c r="E334" s="153"/>
      <c r="F334" s="142">
        <v>10.9</v>
      </c>
      <c r="G334" s="142">
        <v>12.81</v>
      </c>
      <c r="H334" s="142"/>
      <c r="I334" s="142"/>
      <c r="J334" s="142"/>
      <c r="K334" s="20">
        <f t="shared" si="17"/>
        <v>139.62900000000002</v>
      </c>
    </row>
    <row r="335" spans="1:11" s="12" customFormat="1">
      <c r="A335" s="16"/>
      <c r="B335" s="139"/>
      <c r="C335" s="139"/>
      <c r="D335" s="147" t="s">
        <v>1466</v>
      </c>
      <c r="E335" s="157"/>
      <c r="F335" s="142">
        <v>9.2899999999999991</v>
      </c>
      <c r="G335" s="142">
        <v>27.49</v>
      </c>
      <c r="H335" s="142"/>
      <c r="I335" s="142"/>
      <c r="J335" s="142"/>
      <c r="K335" s="20">
        <f t="shared" si="17"/>
        <v>255.38209999999995</v>
      </c>
    </row>
    <row r="336" spans="1:11" s="12" customFormat="1">
      <c r="A336" s="16"/>
      <c r="B336" s="139"/>
      <c r="C336" s="139"/>
      <c r="D336" s="147" t="s">
        <v>1462</v>
      </c>
      <c r="E336" s="157"/>
      <c r="F336" s="142">
        <v>6.61</v>
      </c>
      <c r="G336" s="142">
        <v>17.8</v>
      </c>
      <c r="H336" s="142"/>
      <c r="I336" s="142"/>
      <c r="J336" s="142"/>
      <c r="K336" s="20">
        <f t="shared" si="17"/>
        <v>117.65800000000002</v>
      </c>
    </row>
    <row r="337" spans="1:11" s="12" customFormat="1">
      <c r="A337" s="16"/>
      <c r="B337" s="139"/>
      <c r="C337" s="139"/>
      <c r="D337" s="147" t="s">
        <v>1463</v>
      </c>
      <c r="E337" s="157"/>
      <c r="F337" s="142">
        <v>8.74</v>
      </c>
      <c r="G337" s="142">
        <v>17.8</v>
      </c>
      <c r="H337" s="142"/>
      <c r="I337" s="142"/>
      <c r="J337" s="142"/>
      <c r="K337" s="20">
        <f t="shared" si="17"/>
        <v>155.572</v>
      </c>
    </row>
    <row r="338" spans="1:11" s="12" customFormat="1">
      <c r="A338" s="16"/>
      <c r="B338" s="395"/>
      <c r="C338" s="395"/>
      <c r="D338" s="147" t="s">
        <v>1467</v>
      </c>
      <c r="E338" s="157"/>
      <c r="F338" s="142">
        <v>6.71</v>
      </c>
      <c r="G338" s="142">
        <v>25.32</v>
      </c>
      <c r="H338" s="142"/>
      <c r="I338" s="142"/>
      <c r="J338" s="142"/>
      <c r="K338" s="20">
        <f t="shared" si="17"/>
        <v>169.8972</v>
      </c>
    </row>
    <row r="339" spans="1:11" s="12" customFormat="1">
      <c r="A339" s="16"/>
      <c r="B339" s="395"/>
      <c r="C339" s="395"/>
      <c r="D339" s="409"/>
      <c r="E339" s="415"/>
      <c r="F339" s="397">
        <v>0.93</v>
      </c>
      <c r="G339" s="397">
        <v>5.13</v>
      </c>
      <c r="H339" s="397"/>
      <c r="I339" s="397"/>
      <c r="J339" s="397"/>
      <c r="K339" s="20">
        <f t="shared" si="17"/>
        <v>4.7709000000000001</v>
      </c>
    </row>
    <row r="340" spans="1:11" s="12" customFormat="1">
      <c r="A340" s="16"/>
      <c r="B340" s="395"/>
      <c r="C340" s="395"/>
      <c r="D340" s="147" t="s">
        <v>1468</v>
      </c>
      <c r="E340" s="157"/>
      <c r="F340" s="142">
        <v>6.71</v>
      </c>
      <c r="G340" s="142">
        <v>25.32</v>
      </c>
      <c r="H340" s="142"/>
      <c r="I340" s="142"/>
      <c r="J340" s="142"/>
      <c r="K340" s="20">
        <f t="shared" si="17"/>
        <v>169.8972</v>
      </c>
    </row>
    <row r="341" spans="1:11" s="12" customFormat="1">
      <c r="A341" s="16"/>
      <c r="B341" s="395"/>
      <c r="C341" s="395"/>
      <c r="D341" s="147" t="s">
        <v>1465</v>
      </c>
      <c r="E341" s="157"/>
      <c r="F341" s="142">
        <v>5.96</v>
      </c>
      <c r="G341" s="142">
        <v>22.81</v>
      </c>
      <c r="H341" s="142"/>
      <c r="I341" s="142"/>
      <c r="J341" s="142"/>
      <c r="K341" s="20">
        <f t="shared" si="17"/>
        <v>135.94759999999999</v>
      </c>
    </row>
    <row r="342" spans="1:11" s="12" customFormat="1">
      <c r="A342" s="16"/>
      <c r="B342" s="139"/>
      <c r="C342" s="139"/>
      <c r="D342" s="147"/>
      <c r="E342" s="153"/>
      <c r="F342" s="142"/>
      <c r="G342" s="142"/>
      <c r="H342" s="142"/>
      <c r="I342" s="142"/>
      <c r="J342" s="142"/>
      <c r="K342" s="20"/>
    </row>
    <row r="343" spans="1:11" ht="22.5">
      <c r="A343" s="17" t="s">
        <v>213</v>
      </c>
      <c r="B343" s="151">
        <v>94216</v>
      </c>
      <c r="C343" s="154" t="s">
        <v>9</v>
      </c>
      <c r="D343" s="150" t="s">
        <v>1307</v>
      </c>
      <c r="E343" s="139" t="s">
        <v>208</v>
      </c>
      <c r="F343" s="156"/>
      <c r="G343" s="156"/>
      <c r="H343" s="156"/>
      <c r="I343" s="156"/>
      <c r="J343" s="156"/>
      <c r="K343" s="21">
        <f>SUM(K344:K355)</f>
        <v>1827.9726999999998</v>
      </c>
    </row>
    <row r="344" spans="1:11">
      <c r="A344" s="17"/>
      <c r="B344" s="151"/>
      <c r="C344" s="154"/>
      <c r="D344" s="150" t="s">
        <v>1457</v>
      </c>
      <c r="E344" s="153"/>
      <c r="F344" s="142">
        <v>9.75</v>
      </c>
      <c r="G344" s="142">
        <v>16.309999999999999</v>
      </c>
      <c r="H344" s="142"/>
      <c r="I344" s="142"/>
      <c r="J344" s="142"/>
      <c r="K344" s="20">
        <f>F344*G344</f>
        <v>159.02249999999998</v>
      </c>
    </row>
    <row r="345" spans="1:11">
      <c r="A345" s="17"/>
      <c r="B345" s="151"/>
      <c r="C345" s="154"/>
      <c r="D345" s="402"/>
      <c r="E345" s="416"/>
      <c r="F345" s="397">
        <v>6.61</v>
      </c>
      <c r="G345" s="397">
        <v>7.28</v>
      </c>
      <c r="H345" s="397"/>
      <c r="I345" s="397"/>
      <c r="J345" s="397"/>
      <c r="K345" s="20">
        <f t="shared" ref="K345:K355" si="18">F345*G345</f>
        <v>48.120800000000003</v>
      </c>
    </row>
    <row r="346" spans="1:11">
      <c r="A346" s="17"/>
      <c r="B346" s="151"/>
      <c r="C346" s="154"/>
      <c r="D346" s="147" t="s">
        <v>1458</v>
      </c>
      <c r="E346" s="153"/>
      <c r="F346" s="142">
        <v>8.91</v>
      </c>
      <c r="G346" s="142">
        <v>23.95</v>
      </c>
      <c r="H346" s="142"/>
      <c r="I346" s="142"/>
      <c r="J346" s="142"/>
      <c r="K346" s="20">
        <f t="shared" si="18"/>
        <v>213.39449999999999</v>
      </c>
    </row>
    <row r="347" spans="1:11">
      <c r="A347" s="17"/>
      <c r="B347" s="151"/>
      <c r="C347" s="154"/>
      <c r="D347" s="147" t="s">
        <v>1459</v>
      </c>
      <c r="E347" s="153"/>
      <c r="F347" s="142">
        <v>9.41</v>
      </c>
      <c r="G347" s="142">
        <v>27.49</v>
      </c>
      <c r="H347" s="142"/>
      <c r="I347" s="142"/>
      <c r="J347" s="142"/>
      <c r="K347" s="20">
        <f t="shared" si="18"/>
        <v>258.68090000000001</v>
      </c>
    </row>
    <row r="348" spans="1:11">
      <c r="A348" s="17"/>
      <c r="B348" s="151"/>
      <c r="C348" s="154"/>
      <c r="D348" s="147" t="s">
        <v>1460</v>
      </c>
      <c r="E348" s="153"/>
      <c r="F348" s="142">
        <v>10.9</v>
      </c>
      <c r="G348" s="142">
        <v>12.81</v>
      </c>
      <c r="H348" s="142"/>
      <c r="I348" s="142"/>
      <c r="J348" s="142"/>
      <c r="K348" s="20">
        <f t="shared" si="18"/>
        <v>139.62900000000002</v>
      </c>
    </row>
    <row r="349" spans="1:11">
      <c r="A349" s="17"/>
      <c r="B349" s="151"/>
      <c r="C349" s="154"/>
      <c r="D349" s="147" t="s">
        <v>1466</v>
      </c>
      <c r="E349" s="157"/>
      <c r="F349" s="142">
        <v>9.2899999999999991</v>
      </c>
      <c r="G349" s="142">
        <v>27.49</v>
      </c>
      <c r="H349" s="142"/>
      <c r="I349" s="142"/>
      <c r="J349" s="142"/>
      <c r="K349" s="20">
        <f t="shared" si="18"/>
        <v>255.38209999999995</v>
      </c>
    </row>
    <row r="350" spans="1:11">
      <c r="A350" s="17"/>
      <c r="B350" s="151"/>
      <c r="C350" s="154"/>
      <c r="D350" s="147" t="s">
        <v>1462</v>
      </c>
      <c r="E350" s="157"/>
      <c r="F350" s="142">
        <v>6.61</v>
      </c>
      <c r="G350" s="142">
        <v>17.8</v>
      </c>
      <c r="H350" s="142"/>
      <c r="I350" s="142"/>
      <c r="J350" s="142"/>
      <c r="K350" s="20">
        <f t="shared" si="18"/>
        <v>117.65800000000002</v>
      </c>
    </row>
    <row r="351" spans="1:11">
      <c r="A351" s="17"/>
      <c r="B351" s="151"/>
      <c r="C351" s="154"/>
      <c r="D351" s="147" t="s">
        <v>1463</v>
      </c>
      <c r="E351" s="157"/>
      <c r="F351" s="142">
        <v>8.74</v>
      </c>
      <c r="G351" s="142">
        <v>17.8</v>
      </c>
      <c r="H351" s="142"/>
      <c r="I351" s="142"/>
      <c r="J351" s="142"/>
      <c r="K351" s="20">
        <f t="shared" si="18"/>
        <v>155.572</v>
      </c>
    </row>
    <row r="352" spans="1:11">
      <c r="A352" s="17"/>
      <c r="B352" s="151"/>
      <c r="C352" s="154"/>
      <c r="D352" s="147" t="s">
        <v>1467</v>
      </c>
      <c r="E352" s="157"/>
      <c r="F352" s="142">
        <v>6.71</v>
      </c>
      <c r="G352" s="142">
        <v>25.32</v>
      </c>
      <c r="H352" s="142"/>
      <c r="I352" s="142"/>
      <c r="J352" s="142"/>
      <c r="K352" s="20">
        <f t="shared" si="18"/>
        <v>169.8972</v>
      </c>
    </row>
    <row r="353" spans="1:11">
      <c r="A353" s="17"/>
      <c r="B353" s="151"/>
      <c r="C353" s="154"/>
      <c r="D353" s="409"/>
      <c r="E353" s="415"/>
      <c r="F353" s="397">
        <v>0.93</v>
      </c>
      <c r="G353" s="397">
        <v>5.13</v>
      </c>
      <c r="H353" s="397"/>
      <c r="I353" s="397"/>
      <c r="J353" s="397"/>
      <c r="K353" s="20">
        <f t="shared" si="18"/>
        <v>4.7709000000000001</v>
      </c>
    </row>
    <row r="354" spans="1:11">
      <c r="A354" s="17"/>
      <c r="B354" s="151"/>
      <c r="C354" s="154"/>
      <c r="D354" s="147" t="s">
        <v>1468</v>
      </c>
      <c r="E354" s="157"/>
      <c r="F354" s="142">
        <v>6.71</v>
      </c>
      <c r="G354" s="142">
        <v>25.32</v>
      </c>
      <c r="H354" s="142"/>
      <c r="I354" s="142"/>
      <c r="J354" s="142"/>
      <c r="K354" s="20">
        <f t="shared" si="18"/>
        <v>169.8972</v>
      </c>
    </row>
    <row r="355" spans="1:11">
      <c r="A355" s="17"/>
      <c r="B355" s="149"/>
      <c r="C355" s="149"/>
      <c r="D355" s="147" t="s">
        <v>1465</v>
      </c>
      <c r="E355" s="157"/>
      <c r="F355" s="142">
        <v>5.96</v>
      </c>
      <c r="G355" s="142">
        <v>22.81</v>
      </c>
      <c r="H355" s="142"/>
      <c r="I355" s="142"/>
      <c r="J355" s="142"/>
      <c r="K355" s="20">
        <f t="shared" si="18"/>
        <v>135.94759999999999</v>
      </c>
    </row>
    <row r="356" spans="1:11">
      <c r="A356" s="17"/>
      <c r="B356" s="412"/>
      <c r="C356" s="412"/>
      <c r="D356" s="409"/>
      <c r="E356" s="413"/>
      <c r="F356" s="414"/>
      <c r="G356" s="414"/>
      <c r="H356" s="414"/>
      <c r="I356" s="414"/>
      <c r="J356" s="414"/>
      <c r="K356" s="26"/>
    </row>
    <row r="357" spans="1:11">
      <c r="A357" s="17" t="s">
        <v>215</v>
      </c>
      <c r="B357" s="139" t="s">
        <v>411</v>
      </c>
      <c r="C357" s="139" t="s">
        <v>133</v>
      </c>
      <c r="D357" s="150" t="s">
        <v>1308</v>
      </c>
      <c r="E357" s="163" t="s">
        <v>210</v>
      </c>
      <c r="F357" s="156"/>
      <c r="G357" s="156"/>
      <c r="H357" s="156"/>
      <c r="I357" s="156"/>
      <c r="J357" s="156"/>
      <c r="K357" s="27">
        <f>SUM(K358:K367)</f>
        <v>224.38</v>
      </c>
    </row>
    <row r="358" spans="1:11">
      <c r="A358" s="17"/>
      <c r="B358" s="149"/>
      <c r="C358" s="149"/>
      <c r="D358" s="150" t="s">
        <v>1457</v>
      </c>
      <c r="E358" s="153"/>
      <c r="F358" s="142"/>
      <c r="G358" s="142">
        <v>23.59</v>
      </c>
      <c r="H358" s="156"/>
      <c r="I358" s="156"/>
      <c r="J358" s="156"/>
      <c r="K358" s="26">
        <f>G358</f>
        <v>23.59</v>
      </c>
    </row>
    <row r="359" spans="1:11">
      <c r="A359" s="17"/>
      <c r="B359" s="412"/>
      <c r="C359" s="412"/>
      <c r="D359" s="147" t="s">
        <v>1458</v>
      </c>
      <c r="E359" s="153"/>
      <c r="F359" s="142"/>
      <c r="G359" s="142">
        <v>23.95</v>
      </c>
      <c r="H359" s="414"/>
      <c r="I359" s="414"/>
      <c r="J359" s="414"/>
      <c r="K359" s="26">
        <f t="shared" ref="K359:K367" si="19">G359</f>
        <v>23.95</v>
      </c>
    </row>
    <row r="360" spans="1:11">
      <c r="A360" s="17"/>
      <c r="B360" s="412"/>
      <c r="C360" s="412"/>
      <c r="D360" s="147" t="s">
        <v>1459</v>
      </c>
      <c r="E360" s="153"/>
      <c r="F360" s="142"/>
      <c r="G360" s="142">
        <v>27.49</v>
      </c>
      <c r="H360" s="414"/>
      <c r="I360" s="414"/>
      <c r="J360" s="414"/>
      <c r="K360" s="26">
        <f t="shared" si="19"/>
        <v>27.49</v>
      </c>
    </row>
    <row r="361" spans="1:11">
      <c r="A361" s="17"/>
      <c r="B361" s="412"/>
      <c r="C361" s="412"/>
      <c r="D361" s="147" t="s">
        <v>1460</v>
      </c>
      <c r="E361" s="153"/>
      <c r="F361" s="142"/>
      <c r="G361" s="142">
        <v>12.81</v>
      </c>
      <c r="H361" s="414"/>
      <c r="I361" s="414"/>
      <c r="J361" s="414"/>
      <c r="K361" s="26">
        <f t="shared" si="19"/>
        <v>12.81</v>
      </c>
    </row>
    <row r="362" spans="1:11">
      <c r="A362" s="17"/>
      <c r="B362" s="412"/>
      <c r="C362" s="412"/>
      <c r="D362" s="147" t="s">
        <v>1466</v>
      </c>
      <c r="E362" s="157"/>
      <c r="F362" s="142"/>
      <c r="G362" s="142">
        <v>27.49</v>
      </c>
      <c r="H362" s="414"/>
      <c r="I362" s="414"/>
      <c r="J362" s="414"/>
      <c r="K362" s="26">
        <f t="shared" si="19"/>
        <v>27.49</v>
      </c>
    </row>
    <row r="363" spans="1:11">
      <c r="A363" s="17"/>
      <c r="B363" s="412"/>
      <c r="C363" s="412"/>
      <c r="D363" s="147" t="s">
        <v>1462</v>
      </c>
      <c r="E363" s="157"/>
      <c r="F363" s="142"/>
      <c r="G363" s="142">
        <v>17.8</v>
      </c>
      <c r="H363" s="414"/>
      <c r="I363" s="414"/>
      <c r="J363" s="414"/>
      <c r="K363" s="26">
        <f t="shared" si="19"/>
        <v>17.8</v>
      </c>
    </row>
    <row r="364" spans="1:11">
      <c r="A364" s="17"/>
      <c r="B364" s="412"/>
      <c r="C364" s="412"/>
      <c r="D364" s="147" t="s">
        <v>1463</v>
      </c>
      <c r="E364" s="157"/>
      <c r="F364" s="142"/>
      <c r="G364" s="142">
        <v>17.8</v>
      </c>
      <c r="H364" s="414"/>
      <c r="I364" s="414"/>
      <c r="J364" s="414"/>
      <c r="K364" s="26">
        <f t="shared" si="19"/>
        <v>17.8</v>
      </c>
    </row>
    <row r="365" spans="1:11">
      <c r="A365" s="17"/>
      <c r="B365" s="412"/>
      <c r="C365" s="412"/>
      <c r="D365" s="147" t="s">
        <v>1467</v>
      </c>
      <c r="E365" s="157"/>
      <c r="F365" s="142"/>
      <c r="G365" s="142">
        <v>25.32</v>
      </c>
      <c r="H365" s="414"/>
      <c r="I365" s="414"/>
      <c r="J365" s="414"/>
      <c r="K365" s="26">
        <f t="shared" si="19"/>
        <v>25.32</v>
      </c>
    </row>
    <row r="366" spans="1:11">
      <c r="A366" s="17"/>
      <c r="B366" s="412"/>
      <c r="C366" s="412"/>
      <c r="D366" s="147" t="s">
        <v>1468</v>
      </c>
      <c r="E366" s="157"/>
      <c r="F366" s="142"/>
      <c r="G366" s="142">
        <v>25.32</v>
      </c>
      <c r="H366" s="414"/>
      <c r="I366" s="414"/>
      <c r="J366" s="414"/>
      <c r="K366" s="26">
        <f t="shared" si="19"/>
        <v>25.32</v>
      </c>
    </row>
    <row r="367" spans="1:11">
      <c r="A367" s="17"/>
      <c r="B367" s="412"/>
      <c r="C367" s="412"/>
      <c r="D367" s="147" t="s">
        <v>1465</v>
      </c>
      <c r="E367" s="157"/>
      <c r="F367" s="142"/>
      <c r="G367" s="142">
        <v>22.81</v>
      </c>
      <c r="H367" s="414"/>
      <c r="I367" s="414"/>
      <c r="J367" s="414"/>
      <c r="K367" s="26">
        <f t="shared" si="19"/>
        <v>22.81</v>
      </c>
    </row>
    <row r="368" spans="1:11">
      <c r="A368" s="17"/>
      <c r="B368" s="149"/>
      <c r="C368" s="149"/>
      <c r="D368" s="150"/>
      <c r="E368" s="155"/>
      <c r="F368" s="156"/>
      <c r="G368" s="156"/>
      <c r="H368" s="156"/>
      <c r="I368" s="156"/>
      <c r="J368" s="156"/>
      <c r="K368" s="26"/>
    </row>
    <row r="369" spans="1:11" ht="22.5">
      <c r="A369" s="15" t="s">
        <v>216</v>
      </c>
      <c r="B369" s="149">
        <v>94231</v>
      </c>
      <c r="C369" s="149" t="s">
        <v>9</v>
      </c>
      <c r="D369" s="150" t="s">
        <v>1309</v>
      </c>
      <c r="E369" s="155" t="s">
        <v>210</v>
      </c>
      <c r="F369" s="142"/>
      <c r="G369" s="156"/>
      <c r="H369" s="156"/>
      <c r="I369" s="156"/>
      <c r="J369" s="156"/>
      <c r="K369" s="27">
        <f>SUM(K370:K370)</f>
        <v>74.8</v>
      </c>
    </row>
    <row r="370" spans="1:11">
      <c r="A370" s="17"/>
      <c r="B370" s="149"/>
      <c r="C370" s="149"/>
      <c r="D370" s="150" t="s">
        <v>442</v>
      </c>
      <c r="E370" s="155"/>
      <c r="F370" s="156"/>
      <c r="G370" s="156">
        <v>37.4</v>
      </c>
      <c r="H370" s="156"/>
      <c r="I370" s="156">
        <v>2</v>
      </c>
      <c r="J370" s="156"/>
      <c r="K370" s="26">
        <f>G370*I370</f>
        <v>74.8</v>
      </c>
    </row>
    <row r="371" spans="1:11">
      <c r="A371" s="17"/>
      <c r="B371" s="149"/>
      <c r="C371" s="149"/>
      <c r="D371" s="150"/>
      <c r="E371" s="155"/>
      <c r="F371" s="156"/>
      <c r="G371" s="156"/>
      <c r="H371" s="156"/>
      <c r="I371" s="156"/>
      <c r="J371" s="156"/>
      <c r="K371" s="26"/>
    </row>
    <row r="372" spans="1:11" ht="33.75">
      <c r="A372" s="17" t="s">
        <v>217</v>
      </c>
      <c r="B372" s="149">
        <v>94229</v>
      </c>
      <c r="C372" s="149" t="s">
        <v>9</v>
      </c>
      <c r="D372" s="150" t="s">
        <v>1310</v>
      </c>
      <c r="E372" s="155" t="s">
        <v>210</v>
      </c>
      <c r="F372" s="156"/>
      <c r="G372" s="156"/>
      <c r="H372" s="156"/>
      <c r="I372" s="156"/>
      <c r="J372" s="156"/>
      <c r="K372" s="27">
        <f>SUM(K373:K382)</f>
        <v>378.15000000000003</v>
      </c>
    </row>
    <row r="373" spans="1:11">
      <c r="A373" s="17"/>
      <c r="B373" s="412"/>
      <c r="C373" s="412"/>
      <c r="D373" s="150" t="s">
        <v>1457</v>
      </c>
      <c r="E373" s="153"/>
      <c r="F373" s="142"/>
      <c r="G373" s="142">
        <v>23.59</v>
      </c>
      <c r="H373" s="414"/>
      <c r="I373" s="414">
        <v>2</v>
      </c>
      <c r="J373" s="414"/>
      <c r="K373" s="26">
        <f t="shared" ref="K373:K382" si="20">G373*I373</f>
        <v>47.18</v>
      </c>
    </row>
    <row r="374" spans="1:11">
      <c r="A374" s="17"/>
      <c r="B374" s="412"/>
      <c r="C374" s="412"/>
      <c r="D374" s="147" t="s">
        <v>1458</v>
      </c>
      <c r="E374" s="153"/>
      <c r="F374" s="142"/>
      <c r="G374" s="142">
        <v>23.95</v>
      </c>
      <c r="H374" s="414"/>
      <c r="I374" s="414">
        <v>2</v>
      </c>
      <c r="J374" s="414"/>
      <c r="K374" s="26">
        <f t="shared" si="20"/>
        <v>47.9</v>
      </c>
    </row>
    <row r="375" spans="1:11">
      <c r="A375" s="17"/>
      <c r="B375" s="412"/>
      <c r="C375" s="412"/>
      <c r="D375" s="147" t="s">
        <v>1459</v>
      </c>
      <c r="E375" s="153"/>
      <c r="F375" s="142"/>
      <c r="G375" s="142">
        <v>27.49</v>
      </c>
      <c r="H375" s="414"/>
      <c r="I375" s="414">
        <v>2</v>
      </c>
      <c r="J375" s="414"/>
      <c r="K375" s="26">
        <f t="shared" si="20"/>
        <v>54.98</v>
      </c>
    </row>
    <row r="376" spans="1:11">
      <c r="A376" s="17"/>
      <c r="B376" s="412"/>
      <c r="C376" s="412"/>
      <c r="D376" s="147" t="s">
        <v>1460</v>
      </c>
      <c r="E376" s="153"/>
      <c r="F376" s="142"/>
      <c r="G376" s="142">
        <v>12.81</v>
      </c>
      <c r="H376" s="414"/>
      <c r="I376" s="414">
        <v>2</v>
      </c>
      <c r="J376" s="414"/>
      <c r="K376" s="26">
        <f t="shared" si="20"/>
        <v>25.62</v>
      </c>
    </row>
    <row r="377" spans="1:11">
      <c r="A377" s="17"/>
      <c r="B377" s="412"/>
      <c r="C377" s="412"/>
      <c r="D377" s="147" t="s">
        <v>1466</v>
      </c>
      <c r="E377" s="157"/>
      <c r="F377" s="142"/>
      <c r="G377" s="142">
        <v>27.49</v>
      </c>
      <c r="H377" s="414"/>
      <c r="I377" s="414">
        <v>1</v>
      </c>
      <c r="J377" s="414"/>
      <c r="K377" s="26">
        <f t="shared" si="20"/>
        <v>27.49</v>
      </c>
    </row>
    <row r="378" spans="1:11">
      <c r="A378" s="17"/>
      <c r="B378" s="412"/>
      <c r="C378" s="412"/>
      <c r="D378" s="147" t="s">
        <v>1462</v>
      </c>
      <c r="E378" s="157"/>
      <c r="F378" s="142"/>
      <c r="G378" s="142">
        <v>17.8</v>
      </c>
      <c r="H378" s="414"/>
      <c r="I378" s="414">
        <v>1</v>
      </c>
      <c r="J378" s="414"/>
      <c r="K378" s="26">
        <f t="shared" si="20"/>
        <v>17.8</v>
      </c>
    </row>
    <row r="379" spans="1:11">
      <c r="A379" s="17"/>
      <c r="B379" s="412"/>
      <c r="C379" s="412"/>
      <c r="D379" s="147" t="s">
        <v>1463</v>
      </c>
      <c r="E379" s="157"/>
      <c r="F379" s="142"/>
      <c r="G379" s="142">
        <v>17.8</v>
      </c>
      <c r="H379" s="414"/>
      <c r="I379" s="414">
        <v>2</v>
      </c>
      <c r="J379" s="414"/>
      <c r="K379" s="26">
        <f t="shared" si="20"/>
        <v>35.6</v>
      </c>
    </row>
    <row r="380" spans="1:11">
      <c r="A380" s="17"/>
      <c r="B380" s="412"/>
      <c r="C380" s="412"/>
      <c r="D380" s="147" t="s">
        <v>1467</v>
      </c>
      <c r="E380" s="157"/>
      <c r="F380" s="142"/>
      <c r="G380" s="142">
        <v>25.32</v>
      </c>
      <c r="H380" s="414"/>
      <c r="I380" s="414">
        <v>2</v>
      </c>
      <c r="J380" s="414"/>
      <c r="K380" s="26">
        <f t="shared" si="20"/>
        <v>50.64</v>
      </c>
    </row>
    <row r="381" spans="1:11">
      <c r="A381" s="17"/>
      <c r="B381" s="412"/>
      <c r="C381" s="412"/>
      <c r="D381" s="147" t="s">
        <v>1468</v>
      </c>
      <c r="E381" s="157"/>
      <c r="F381" s="142"/>
      <c r="G381" s="142">
        <v>25.32</v>
      </c>
      <c r="H381" s="414"/>
      <c r="I381" s="414">
        <v>1</v>
      </c>
      <c r="J381" s="414"/>
      <c r="K381" s="26">
        <f t="shared" si="20"/>
        <v>25.32</v>
      </c>
    </row>
    <row r="382" spans="1:11">
      <c r="A382" s="17"/>
      <c r="B382" s="412"/>
      <c r="C382" s="412"/>
      <c r="D382" s="147" t="s">
        <v>1465</v>
      </c>
      <c r="E382" s="157"/>
      <c r="F382" s="142"/>
      <c r="G382" s="142">
        <v>22.81</v>
      </c>
      <c r="H382" s="414"/>
      <c r="I382" s="414">
        <v>2</v>
      </c>
      <c r="J382" s="414"/>
      <c r="K382" s="26">
        <f t="shared" si="20"/>
        <v>45.62</v>
      </c>
    </row>
    <row r="383" spans="1:11">
      <c r="A383" s="17"/>
      <c r="B383" s="149"/>
      <c r="C383" s="149"/>
      <c r="D383" s="150"/>
      <c r="E383" s="155"/>
      <c r="F383" s="156"/>
      <c r="G383" s="156"/>
      <c r="H383" s="156"/>
      <c r="I383" s="156"/>
      <c r="J383" s="156"/>
      <c r="K383" s="26"/>
    </row>
    <row r="384" spans="1:11" ht="45">
      <c r="A384" s="17" t="s">
        <v>317</v>
      </c>
      <c r="B384" s="149" t="s">
        <v>241</v>
      </c>
      <c r="C384" s="149" t="s">
        <v>11</v>
      </c>
      <c r="D384" s="150" t="s">
        <v>1311</v>
      </c>
      <c r="E384" s="139" t="s">
        <v>208</v>
      </c>
      <c r="F384" s="156"/>
      <c r="G384" s="156"/>
      <c r="H384" s="156"/>
      <c r="I384" s="156"/>
      <c r="J384" s="156"/>
      <c r="K384" s="27">
        <f>SUM(K385:K426)</f>
        <v>749.50579999999991</v>
      </c>
    </row>
    <row r="385" spans="1:11">
      <c r="A385" s="17"/>
      <c r="B385" s="149"/>
      <c r="C385" s="149"/>
      <c r="D385" s="150" t="s">
        <v>361</v>
      </c>
      <c r="E385" s="163"/>
      <c r="F385" s="156">
        <v>2.8</v>
      </c>
      <c r="G385" s="156">
        <v>4.25</v>
      </c>
      <c r="H385" s="142"/>
      <c r="I385" s="142"/>
      <c r="J385" s="156"/>
      <c r="K385" s="26">
        <f t="shared" ref="K385:K420" si="21">F385*G385</f>
        <v>11.899999999999999</v>
      </c>
    </row>
    <row r="386" spans="1:11">
      <c r="A386" s="17"/>
      <c r="B386" s="412"/>
      <c r="C386" s="412"/>
      <c r="D386" s="402" t="s">
        <v>361</v>
      </c>
      <c r="E386" s="413"/>
      <c r="F386" s="414">
        <v>0.75</v>
      </c>
      <c r="G386" s="414">
        <v>1.32</v>
      </c>
      <c r="H386" s="397"/>
      <c r="I386" s="397"/>
      <c r="J386" s="414"/>
      <c r="K386" s="26">
        <f t="shared" si="21"/>
        <v>0.99</v>
      </c>
    </row>
    <row r="387" spans="1:11">
      <c r="A387" s="17"/>
      <c r="B387" s="149"/>
      <c r="C387" s="149"/>
      <c r="D387" s="150" t="s">
        <v>144</v>
      </c>
      <c r="E387" s="163"/>
      <c r="F387" s="156">
        <v>4.2</v>
      </c>
      <c r="G387" s="156">
        <v>4.5999999999999996</v>
      </c>
      <c r="H387" s="142"/>
      <c r="I387" s="142"/>
      <c r="J387" s="156"/>
      <c r="K387" s="26">
        <f t="shared" si="21"/>
        <v>19.32</v>
      </c>
    </row>
    <row r="388" spans="1:11">
      <c r="A388" s="17"/>
      <c r="B388" s="149"/>
      <c r="C388" s="149"/>
      <c r="D388" s="150" t="s">
        <v>143</v>
      </c>
      <c r="E388" s="163"/>
      <c r="F388" s="156">
        <v>3.2</v>
      </c>
      <c r="G388" s="156">
        <v>5</v>
      </c>
      <c r="H388" s="142"/>
      <c r="I388" s="142"/>
      <c r="J388" s="156"/>
      <c r="K388" s="26">
        <f>F388+G388</f>
        <v>8.1999999999999993</v>
      </c>
    </row>
    <row r="389" spans="1:11">
      <c r="A389" s="17"/>
      <c r="B389" s="149"/>
      <c r="C389" s="149"/>
      <c r="D389" s="150" t="s">
        <v>362</v>
      </c>
      <c r="E389" s="163"/>
      <c r="F389" s="156">
        <f>4.14*5.09</f>
        <v>21.072599999999998</v>
      </c>
      <c r="G389" s="156">
        <f>1.65*1.68</f>
        <v>2.7719999999999998</v>
      </c>
      <c r="H389" s="142"/>
      <c r="I389" s="142"/>
      <c r="J389" s="156"/>
      <c r="K389" s="26">
        <f>F389+G389</f>
        <v>23.844599999999996</v>
      </c>
    </row>
    <row r="390" spans="1:11">
      <c r="A390" s="17"/>
      <c r="B390" s="149"/>
      <c r="C390" s="149"/>
      <c r="D390" s="150" t="s">
        <v>366</v>
      </c>
      <c r="E390" s="163"/>
      <c r="F390" s="156">
        <v>3.52</v>
      </c>
      <c r="G390" s="156">
        <v>3.81</v>
      </c>
      <c r="H390" s="142"/>
      <c r="I390" s="142"/>
      <c r="J390" s="156"/>
      <c r="K390" s="26">
        <f t="shared" si="21"/>
        <v>13.411200000000001</v>
      </c>
    </row>
    <row r="391" spans="1:11">
      <c r="A391" s="17"/>
      <c r="B391" s="149"/>
      <c r="C391" s="149"/>
      <c r="D391" s="150" t="s">
        <v>363</v>
      </c>
      <c r="E391" s="163"/>
      <c r="F391" s="156">
        <f>4.13*5.28</f>
        <v>21.8064</v>
      </c>
      <c r="G391" s="156">
        <f>1.65*1.68</f>
        <v>2.7719999999999998</v>
      </c>
      <c r="H391" s="142"/>
      <c r="I391" s="142"/>
      <c r="J391" s="156"/>
      <c r="K391" s="26">
        <f>F391+G391</f>
        <v>24.578399999999998</v>
      </c>
    </row>
    <row r="392" spans="1:11">
      <c r="A392" s="17"/>
      <c r="B392" s="149"/>
      <c r="C392" s="149"/>
      <c r="D392" s="150" t="s">
        <v>367</v>
      </c>
      <c r="E392" s="163"/>
      <c r="F392" s="156">
        <v>3.53</v>
      </c>
      <c r="G392" s="156">
        <v>4</v>
      </c>
      <c r="H392" s="142"/>
      <c r="I392" s="142"/>
      <c r="J392" s="156"/>
      <c r="K392" s="26">
        <f t="shared" si="21"/>
        <v>14.12</v>
      </c>
    </row>
    <row r="393" spans="1:11">
      <c r="A393" s="17"/>
      <c r="B393" s="149"/>
      <c r="C393" s="149"/>
      <c r="D393" s="150" t="s">
        <v>368</v>
      </c>
      <c r="E393" s="163"/>
      <c r="F393" s="156">
        <v>2.88</v>
      </c>
      <c r="G393" s="156">
        <v>3.04</v>
      </c>
      <c r="H393" s="142"/>
      <c r="I393" s="142"/>
      <c r="J393" s="156"/>
      <c r="K393" s="26">
        <f t="shared" si="21"/>
        <v>8.7552000000000003</v>
      </c>
    </row>
    <row r="394" spans="1:11">
      <c r="A394" s="17"/>
      <c r="B394" s="149"/>
      <c r="C394" s="149"/>
      <c r="D394" s="150" t="s">
        <v>369</v>
      </c>
      <c r="E394" s="163"/>
      <c r="F394" s="156">
        <v>2.78</v>
      </c>
      <c r="G394" s="156">
        <v>2.88</v>
      </c>
      <c r="H394" s="142"/>
      <c r="I394" s="142"/>
      <c r="J394" s="156"/>
      <c r="K394" s="26">
        <f t="shared" si="21"/>
        <v>8.0063999999999993</v>
      </c>
    </row>
    <row r="395" spans="1:11">
      <c r="A395" s="17"/>
      <c r="B395" s="149"/>
      <c r="C395" s="149"/>
      <c r="D395" s="150" t="s">
        <v>370</v>
      </c>
      <c r="E395" s="163"/>
      <c r="F395" s="156">
        <v>2.88</v>
      </c>
      <c r="G395" s="156">
        <v>3.04</v>
      </c>
      <c r="H395" s="142"/>
      <c r="I395" s="142"/>
      <c r="J395" s="156"/>
      <c r="K395" s="26">
        <f t="shared" si="21"/>
        <v>8.7552000000000003</v>
      </c>
    </row>
    <row r="396" spans="1:11">
      <c r="A396" s="17"/>
      <c r="B396" s="149"/>
      <c r="C396" s="149"/>
      <c r="D396" s="150" t="s">
        <v>371</v>
      </c>
      <c r="E396" s="163"/>
      <c r="F396" s="156">
        <v>2.78</v>
      </c>
      <c r="G396" s="156">
        <v>2.88</v>
      </c>
      <c r="H396" s="142"/>
      <c r="I396" s="142"/>
      <c r="J396" s="156"/>
      <c r="K396" s="26">
        <f t="shared" si="21"/>
        <v>8.0063999999999993</v>
      </c>
    </row>
    <row r="397" spans="1:11">
      <c r="A397" s="17"/>
      <c r="B397" s="149"/>
      <c r="C397" s="149"/>
      <c r="D397" s="150" t="s">
        <v>364</v>
      </c>
      <c r="E397" s="163"/>
      <c r="F397" s="156">
        <f>4.13*5.28</f>
        <v>21.8064</v>
      </c>
      <c r="G397" s="156">
        <f>1.65*1.68</f>
        <v>2.7719999999999998</v>
      </c>
      <c r="H397" s="142"/>
      <c r="I397" s="142"/>
      <c r="J397" s="156"/>
      <c r="K397" s="26">
        <f>F397+G397</f>
        <v>24.578399999999998</v>
      </c>
    </row>
    <row r="398" spans="1:11">
      <c r="A398" s="17"/>
      <c r="B398" s="149"/>
      <c r="C398" s="149"/>
      <c r="D398" s="150" t="s">
        <v>372</v>
      </c>
      <c r="E398" s="163"/>
      <c r="F398" s="156">
        <v>3.53</v>
      </c>
      <c r="G398" s="156">
        <v>4</v>
      </c>
      <c r="H398" s="142"/>
      <c r="I398" s="142"/>
      <c r="J398" s="156"/>
      <c r="K398" s="26">
        <f t="shared" si="21"/>
        <v>14.12</v>
      </c>
    </row>
    <row r="399" spans="1:11">
      <c r="A399" s="17"/>
      <c r="B399" s="149"/>
      <c r="C399" s="149"/>
      <c r="D399" s="150" t="s">
        <v>365</v>
      </c>
      <c r="E399" s="163"/>
      <c r="F399" s="156">
        <f>4.13*5.28</f>
        <v>21.8064</v>
      </c>
      <c r="G399" s="156">
        <f>1.65*1.68</f>
        <v>2.7719999999999998</v>
      </c>
      <c r="H399" s="142"/>
      <c r="I399" s="142"/>
      <c r="J399" s="156"/>
      <c r="K399" s="26">
        <f>F399+G399</f>
        <v>24.578399999999998</v>
      </c>
    </row>
    <row r="400" spans="1:11">
      <c r="A400" s="17"/>
      <c r="B400" s="149"/>
      <c r="C400" s="149"/>
      <c r="D400" s="150" t="s">
        <v>373</v>
      </c>
      <c r="E400" s="163"/>
      <c r="F400" s="156">
        <v>3.53</v>
      </c>
      <c r="G400" s="156">
        <v>4</v>
      </c>
      <c r="H400" s="142"/>
      <c r="I400" s="142"/>
      <c r="J400" s="156"/>
      <c r="K400" s="26">
        <f t="shared" si="21"/>
        <v>14.12</v>
      </c>
    </row>
    <row r="401" spans="1:11">
      <c r="A401" s="17"/>
      <c r="B401" s="149"/>
      <c r="C401" s="149"/>
      <c r="D401" s="150" t="s">
        <v>390</v>
      </c>
      <c r="E401" s="163"/>
      <c r="F401" s="156">
        <v>2.88</v>
      </c>
      <c r="G401" s="156">
        <v>3.04</v>
      </c>
      <c r="H401" s="142"/>
      <c r="I401" s="142"/>
      <c r="J401" s="156"/>
      <c r="K401" s="26">
        <f t="shared" si="21"/>
        <v>8.7552000000000003</v>
      </c>
    </row>
    <row r="402" spans="1:11">
      <c r="A402" s="17"/>
      <c r="B402" s="149"/>
      <c r="C402" s="149"/>
      <c r="D402" s="150" t="s">
        <v>393</v>
      </c>
      <c r="E402" s="163"/>
      <c r="F402" s="156">
        <v>2.78</v>
      </c>
      <c r="G402" s="156">
        <v>2.88</v>
      </c>
      <c r="H402" s="142"/>
      <c r="I402" s="142"/>
      <c r="J402" s="156"/>
      <c r="K402" s="26">
        <f t="shared" si="21"/>
        <v>8.0063999999999993</v>
      </c>
    </row>
    <row r="403" spans="1:11">
      <c r="A403" s="17"/>
      <c r="B403" s="149"/>
      <c r="C403" s="149"/>
      <c r="D403" s="150" t="s">
        <v>391</v>
      </c>
      <c r="E403" s="163"/>
      <c r="F403" s="156">
        <v>2.88</v>
      </c>
      <c r="G403" s="156">
        <v>3.04</v>
      </c>
      <c r="H403" s="142"/>
      <c r="I403" s="142"/>
      <c r="J403" s="156"/>
      <c r="K403" s="26">
        <f t="shared" si="21"/>
        <v>8.7552000000000003</v>
      </c>
    </row>
    <row r="404" spans="1:11">
      <c r="A404" s="17"/>
      <c r="B404" s="149"/>
      <c r="C404" s="149"/>
      <c r="D404" s="150" t="s">
        <v>392</v>
      </c>
      <c r="E404" s="163"/>
      <c r="F404" s="156">
        <v>2.78</v>
      </c>
      <c r="G404" s="156">
        <v>2.88</v>
      </c>
      <c r="H404" s="142"/>
      <c r="I404" s="142"/>
      <c r="J404" s="156"/>
      <c r="K404" s="26">
        <f t="shared" si="21"/>
        <v>8.0063999999999993</v>
      </c>
    </row>
    <row r="405" spans="1:11">
      <c r="A405" s="17"/>
      <c r="B405" s="149"/>
      <c r="C405" s="149"/>
      <c r="D405" s="150" t="s">
        <v>1314</v>
      </c>
      <c r="E405" s="163"/>
      <c r="F405" s="156">
        <f>4.13*5.28</f>
        <v>21.8064</v>
      </c>
      <c r="G405" s="156">
        <f>1.65*1.68</f>
        <v>2.7719999999999998</v>
      </c>
      <c r="H405" s="142"/>
      <c r="I405" s="142"/>
      <c r="J405" s="156"/>
      <c r="K405" s="26">
        <f>F405+G405</f>
        <v>24.578399999999998</v>
      </c>
    </row>
    <row r="406" spans="1:11">
      <c r="A406" s="17"/>
      <c r="B406" s="149"/>
      <c r="C406" s="149"/>
      <c r="D406" s="150" t="s">
        <v>1315</v>
      </c>
      <c r="E406" s="163"/>
      <c r="F406" s="156">
        <v>3.53</v>
      </c>
      <c r="G406" s="156">
        <v>4</v>
      </c>
      <c r="H406" s="142"/>
      <c r="I406" s="142"/>
      <c r="J406" s="156"/>
      <c r="K406" s="26">
        <f t="shared" si="21"/>
        <v>14.12</v>
      </c>
    </row>
    <row r="407" spans="1:11">
      <c r="A407" s="17"/>
      <c r="B407" s="149"/>
      <c r="C407" s="149"/>
      <c r="D407" s="150" t="s">
        <v>1317</v>
      </c>
      <c r="E407" s="163"/>
      <c r="F407" s="156">
        <f>4.13*5.28</f>
        <v>21.8064</v>
      </c>
      <c r="G407" s="156">
        <f>1.65*1.68</f>
        <v>2.7719999999999998</v>
      </c>
      <c r="H407" s="142"/>
      <c r="I407" s="142"/>
      <c r="J407" s="156"/>
      <c r="K407" s="26">
        <f>F407+G407</f>
        <v>24.578399999999998</v>
      </c>
    </row>
    <row r="408" spans="1:11">
      <c r="A408" s="17"/>
      <c r="B408" s="149"/>
      <c r="C408" s="149"/>
      <c r="D408" s="150" t="s">
        <v>1318</v>
      </c>
      <c r="E408" s="163"/>
      <c r="F408" s="156">
        <v>3.53</v>
      </c>
      <c r="G408" s="156">
        <v>4</v>
      </c>
      <c r="H408" s="142"/>
      <c r="I408" s="142"/>
      <c r="J408" s="156"/>
      <c r="K408" s="26">
        <f t="shared" si="21"/>
        <v>14.12</v>
      </c>
    </row>
    <row r="409" spans="1:11">
      <c r="A409" s="17"/>
      <c r="B409" s="149"/>
      <c r="C409" s="149"/>
      <c r="D409" s="150" t="s">
        <v>1316</v>
      </c>
      <c r="E409" s="163"/>
      <c r="F409" s="156">
        <v>2.88</v>
      </c>
      <c r="G409" s="156">
        <v>3.04</v>
      </c>
      <c r="H409" s="142"/>
      <c r="I409" s="142"/>
      <c r="J409" s="156"/>
      <c r="K409" s="26">
        <f t="shared" si="21"/>
        <v>8.7552000000000003</v>
      </c>
    </row>
    <row r="410" spans="1:11">
      <c r="A410" s="17"/>
      <c r="B410" s="149"/>
      <c r="C410" s="149"/>
      <c r="D410" s="150" t="s">
        <v>1319</v>
      </c>
      <c r="E410" s="163"/>
      <c r="F410" s="156">
        <v>2.78</v>
      </c>
      <c r="G410" s="156">
        <v>2.88</v>
      </c>
      <c r="H410" s="142"/>
      <c r="I410" s="142"/>
      <c r="J410" s="156"/>
      <c r="K410" s="26">
        <f t="shared" si="21"/>
        <v>8.0063999999999993</v>
      </c>
    </row>
    <row r="411" spans="1:11">
      <c r="A411" s="17"/>
      <c r="B411" s="149"/>
      <c r="C411" s="149"/>
      <c r="D411" s="150" t="s">
        <v>1320</v>
      </c>
      <c r="E411" s="163"/>
      <c r="F411" s="156">
        <v>2.88</v>
      </c>
      <c r="G411" s="156">
        <v>3.04</v>
      </c>
      <c r="H411" s="142"/>
      <c r="I411" s="142"/>
      <c r="J411" s="156"/>
      <c r="K411" s="26">
        <f t="shared" si="21"/>
        <v>8.7552000000000003</v>
      </c>
    </row>
    <row r="412" spans="1:11">
      <c r="A412" s="17"/>
      <c r="B412" s="149"/>
      <c r="C412" s="149"/>
      <c r="D412" s="150" t="s">
        <v>1321</v>
      </c>
      <c r="E412" s="163"/>
      <c r="F412" s="156">
        <v>2.78</v>
      </c>
      <c r="G412" s="156">
        <v>2.88</v>
      </c>
      <c r="H412" s="142"/>
      <c r="I412" s="142"/>
      <c r="J412" s="156"/>
      <c r="K412" s="26">
        <f t="shared" si="21"/>
        <v>8.0063999999999993</v>
      </c>
    </row>
    <row r="413" spans="1:11">
      <c r="A413" s="17"/>
      <c r="B413" s="149"/>
      <c r="C413" s="149"/>
      <c r="D413" s="150" t="s">
        <v>1322</v>
      </c>
      <c r="E413" s="163"/>
      <c r="F413" s="156">
        <f>4.13*5.28</f>
        <v>21.8064</v>
      </c>
      <c r="G413" s="156">
        <f>1.65*1.68</f>
        <v>2.7719999999999998</v>
      </c>
      <c r="H413" s="142"/>
      <c r="I413" s="142"/>
      <c r="J413" s="156"/>
      <c r="K413" s="26">
        <f>F413+G413</f>
        <v>24.578399999999998</v>
      </c>
    </row>
    <row r="414" spans="1:11">
      <c r="A414" s="17"/>
      <c r="B414" s="149"/>
      <c r="C414" s="149"/>
      <c r="D414" s="150" t="s">
        <v>1323</v>
      </c>
      <c r="E414" s="163"/>
      <c r="F414" s="156">
        <v>3.53</v>
      </c>
      <c r="G414" s="156">
        <v>4</v>
      </c>
      <c r="H414" s="142"/>
      <c r="I414" s="142"/>
      <c r="J414" s="156"/>
      <c r="K414" s="26">
        <f t="shared" si="21"/>
        <v>14.12</v>
      </c>
    </row>
    <row r="415" spans="1:11">
      <c r="A415" s="17"/>
      <c r="B415" s="149"/>
      <c r="C415" s="149"/>
      <c r="D415" s="150" t="s">
        <v>1324</v>
      </c>
      <c r="E415" s="163"/>
      <c r="F415" s="156">
        <f>4.13*5.28</f>
        <v>21.8064</v>
      </c>
      <c r="G415" s="156">
        <f>1.65*1.68</f>
        <v>2.7719999999999998</v>
      </c>
      <c r="H415" s="142"/>
      <c r="I415" s="142"/>
      <c r="J415" s="156"/>
      <c r="K415" s="26">
        <f>F415+G415</f>
        <v>24.578399999999998</v>
      </c>
    </row>
    <row r="416" spans="1:11">
      <c r="A416" s="17"/>
      <c r="B416" s="149"/>
      <c r="C416" s="149"/>
      <c r="D416" s="150" t="s">
        <v>1325</v>
      </c>
      <c r="E416" s="163"/>
      <c r="F416" s="156">
        <v>3.53</v>
      </c>
      <c r="G416" s="156">
        <v>4</v>
      </c>
      <c r="H416" s="142"/>
      <c r="I416" s="142"/>
      <c r="J416" s="156"/>
      <c r="K416" s="26">
        <f t="shared" si="21"/>
        <v>14.12</v>
      </c>
    </row>
    <row r="417" spans="1:11">
      <c r="A417" s="17"/>
      <c r="B417" s="149"/>
      <c r="C417" s="149"/>
      <c r="D417" s="150" t="s">
        <v>1326</v>
      </c>
      <c r="E417" s="163"/>
      <c r="F417" s="156">
        <v>2.88</v>
      </c>
      <c r="G417" s="156">
        <v>3.04</v>
      </c>
      <c r="H417" s="142"/>
      <c r="I417" s="142"/>
      <c r="J417" s="156"/>
      <c r="K417" s="26">
        <f t="shared" si="21"/>
        <v>8.7552000000000003</v>
      </c>
    </row>
    <row r="418" spans="1:11">
      <c r="A418" s="17"/>
      <c r="B418" s="149"/>
      <c r="C418" s="149"/>
      <c r="D418" s="150" t="s">
        <v>1327</v>
      </c>
      <c r="E418" s="163"/>
      <c r="F418" s="156">
        <v>2.78</v>
      </c>
      <c r="G418" s="156">
        <v>2.88</v>
      </c>
      <c r="H418" s="142"/>
      <c r="I418" s="142"/>
      <c r="J418" s="156"/>
      <c r="K418" s="26">
        <f t="shared" si="21"/>
        <v>8.0063999999999993</v>
      </c>
    </row>
    <row r="419" spans="1:11">
      <c r="A419" s="17"/>
      <c r="B419" s="149"/>
      <c r="C419" s="149"/>
      <c r="D419" s="150" t="s">
        <v>1328</v>
      </c>
      <c r="E419" s="163"/>
      <c r="F419" s="156">
        <v>2.88</v>
      </c>
      <c r="G419" s="156">
        <v>3.04</v>
      </c>
      <c r="H419" s="142"/>
      <c r="I419" s="142"/>
      <c r="J419" s="156"/>
      <c r="K419" s="26">
        <f t="shared" si="21"/>
        <v>8.7552000000000003</v>
      </c>
    </row>
    <row r="420" spans="1:11">
      <c r="A420" s="17"/>
      <c r="B420" s="149"/>
      <c r="C420" s="149"/>
      <c r="D420" s="150" t="s">
        <v>1329</v>
      </c>
      <c r="E420" s="163"/>
      <c r="F420" s="156">
        <v>2.78</v>
      </c>
      <c r="G420" s="156">
        <v>2.88</v>
      </c>
      <c r="H420" s="142"/>
      <c r="I420" s="142"/>
      <c r="J420" s="156"/>
      <c r="K420" s="26">
        <f t="shared" si="21"/>
        <v>8.0063999999999993</v>
      </c>
    </row>
    <row r="421" spans="1:11">
      <c r="A421" s="17"/>
      <c r="B421" s="149"/>
      <c r="C421" s="149"/>
      <c r="D421" s="150" t="s">
        <v>374</v>
      </c>
      <c r="E421" s="163"/>
      <c r="F421" s="156">
        <f>7*4.45</f>
        <v>31.150000000000002</v>
      </c>
      <c r="G421" s="156">
        <f>1.2*5.4</f>
        <v>6.48</v>
      </c>
      <c r="H421" s="142"/>
      <c r="I421" s="142"/>
      <c r="J421" s="156"/>
      <c r="K421" s="26">
        <f>F421+G421</f>
        <v>37.630000000000003</v>
      </c>
    </row>
    <row r="422" spans="1:11">
      <c r="A422" s="17"/>
      <c r="B422" s="149"/>
      <c r="C422" s="149"/>
      <c r="D422" s="150" t="s">
        <v>375</v>
      </c>
      <c r="E422" s="163"/>
      <c r="F422" s="156">
        <f t="shared" ref="F422:F423" si="22">7*4.45</f>
        <v>31.150000000000002</v>
      </c>
      <c r="G422" s="156">
        <f t="shared" ref="G422:G424" si="23">1.2*5.4</f>
        <v>6.48</v>
      </c>
      <c r="H422" s="142"/>
      <c r="I422" s="142"/>
      <c r="J422" s="156"/>
      <c r="K422" s="26">
        <f t="shared" ref="K422:K425" si="24">F422+G422</f>
        <v>37.630000000000003</v>
      </c>
    </row>
    <row r="423" spans="1:11">
      <c r="A423" s="17"/>
      <c r="B423" s="149"/>
      <c r="C423" s="149"/>
      <c r="D423" s="150" t="s">
        <v>376</v>
      </c>
      <c r="E423" s="163"/>
      <c r="F423" s="156">
        <f t="shared" si="22"/>
        <v>31.150000000000002</v>
      </c>
      <c r="G423" s="156">
        <f t="shared" si="23"/>
        <v>6.48</v>
      </c>
      <c r="H423" s="142"/>
      <c r="I423" s="142"/>
      <c r="J423" s="156"/>
      <c r="K423" s="26">
        <f t="shared" si="24"/>
        <v>37.630000000000003</v>
      </c>
    </row>
    <row r="424" spans="1:11">
      <c r="A424" s="17"/>
      <c r="B424" s="149"/>
      <c r="C424" s="149"/>
      <c r="D424" s="150" t="s">
        <v>377</v>
      </c>
      <c r="E424" s="163"/>
      <c r="F424" s="156">
        <f>7*4.45</f>
        <v>31.150000000000002</v>
      </c>
      <c r="G424" s="156">
        <f t="shared" si="23"/>
        <v>6.48</v>
      </c>
      <c r="H424" s="142"/>
      <c r="I424" s="142"/>
      <c r="J424" s="156"/>
      <c r="K424" s="26">
        <f t="shared" si="24"/>
        <v>37.630000000000003</v>
      </c>
    </row>
    <row r="425" spans="1:11">
      <c r="A425" s="17"/>
      <c r="B425" s="149"/>
      <c r="C425" s="149"/>
      <c r="D425" s="150" t="s">
        <v>342</v>
      </c>
      <c r="E425" s="163"/>
      <c r="F425" s="156">
        <f>5.92*7.83</f>
        <v>46.3536</v>
      </c>
      <c r="G425" s="7">
        <f>1.8*6.55</f>
        <v>11.79</v>
      </c>
      <c r="K425" s="26">
        <f t="shared" si="24"/>
        <v>58.143599999999999</v>
      </c>
    </row>
    <row r="426" spans="1:11">
      <c r="A426" s="17"/>
      <c r="B426" s="149"/>
      <c r="C426" s="149"/>
      <c r="D426" s="376" t="s">
        <v>1239</v>
      </c>
      <c r="E426" s="163"/>
      <c r="F426" s="156">
        <f>6.55*7.72</f>
        <v>50.565999999999995</v>
      </c>
      <c r="G426" s="156">
        <f>1.28*5.96</f>
        <v>7.6288</v>
      </c>
      <c r="H426" s="142"/>
      <c r="I426" s="142"/>
      <c r="J426" s="156"/>
      <c r="K426" s="26">
        <f>F426+G426</f>
        <v>58.194799999999994</v>
      </c>
    </row>
    <row r="427" spans="1:11">
      <c r="A427" s="17"/>
      <c r="B427" s="149"/>
      <c r="C427" s="149"/>
      <c r="D427" s="150"/>
      <c r="E427" s="163"/>
      <c r="F427" s="156"/>
      <c r="G427" s="156"/>
      <c r="H427" s="142"/>
      <c r="I427" s="142"/>
      <c r="J427" s="156"/>
      <c r="K427" s="26"/>
    </row>
    <row r="428" spans="1:11" ht="33.75">
      <c r="A428" s="15" t="s">
        <v>318</v>
      </c>
      <c r="B428" s="149">
        <v>96111</v>
      </c>
      <c r="C428" s="149" t="s">
        <v>9</v>
      </c>
      <c r="D428" s="150" t="s">
        <v>1312</v>
      </c>
      <c r="E428" s="139" t="s">
        <v>208</v>
      </c>
      <c r="F428" s="142"/>
      <c r="G428" s="142"/>
      <c r="H428" s="156"/>
      <c r="I428" s="156"/>
      <c r="J428" s="156"/>
      <c r="K428" s="27">
        <f>SUM(K429:K445)</f>
        <v>480.87110000000013</v>
      </c>
    </row>
    <row r="429" spans="1:11">
      <c r="A429" s="17"/>
      <c r="B429" s="149"/>
      <c r="C429" s="149"/>
      <c r="D429" s="150" t="s">
        <v>378</v>
      </c>
      <c r="E429" s="163"/>
      <c r="F429" s="156">
        <v>3.97</v>
      </c>
      <c r="G429" s="156">
        <v>9.7100000000000009</v>
      </c>
      <c r="H429" s="142"/>
      <c r="I429" s="142"/>
      <c r="J429" s="156"/>
      <c r="K429" s="26">
        <f t="shared" ref="K429:K444" si="25">F429*G429</f>
        <v>38.548700000000004</v>
      </c>
    </row>
    <row r="430" spans="1:11">
      <c r="A430" s="17"/>
      <c r="B430" s="149"/>
      <c r="C430" s="149"/>
      <c r="D430" s="150" t="s">
        <v>1330</v>
      </c>
      <c r="E430" s="163"/>
      <c r="F430" s="156">
        <v>2.1</v>
      </c>
      <c r="G430" s="156">
        <v>2.2000000000000002</v>
      </c>
      <c r="H430" s="142"/>
      <c r="I430" s="142"/>
      <c r="J430" s="156"/>
      <c r="K430" s="26">
        <f t="shared" si="25"/>
        <v>4.620000000000001</v>
      </c>
    </row>
    <row r="431" spans="1:11">
      <c r="A431" s="17"/>
      <c r="B431" s="149"/>
      <c r="C431" s="149"/>
      <c r="D431" s="150" t="s">
        <v>1331</v>
      </c>
      <c r="E431" s="163"/>
      <c r="F431" s="156">
        <v>1.3</v>
      </c>
      <c r="G431" s="156">
        <v>2.2000000000000002</v>
      </c>
      <c r="H431" s="142"/>
      <c r="I431" s="142"/>
      <c r="J431" s="156"/>
      <c r="K431" s="26">
        <f t="shared" si="25"/>
        <v>2.8600000000000003</v>
      </c>
    </row>
    <row r="432" spans="1:11">
      <c r="A432" s="17"/>
      <c r="B432" s="149"/>
      <c r="C432" s="149"/>
      <c r="D432" s="150" t="s">
        <v>379</v>
      </c>
      <c r="E432" s="163"/>
      <c r="F432" s="156"/>
      <c r="G432" s="156"/>
      <c r="H432" s="142"/>
      <c r="I432" s="142"/>
      <c r="J432" s="156"/>
      <c r="K432" s="26">
        <v>275.22000000000003</v>
      </c>
    </row>
    <row r="433" spans="1:11">
      <c r="A433" s="17"/>
      <c r="B433" s="149"/>
      <c r="C433" s="149"/>
      <c r="D433" s="150" t="s">
        <v>380</v>
      </c>
      <c r="E433" s="163"/>
      <c r="F433" s="156">
        <v>3</v>
      </c>
      <c r="G433" s="156">
        <v>5.64</v>
      </c>
      <c r="H433" s="142"/>
      <c r="I433" s="142"/>
      <c r="J433" s="156"/>
      <c r="K433" s="26">
        <f t="shared" si="25"/>
        <v>16.919999999999998</v>
      </c>
    </row>
    <row r="434" spans="1:11">
      <c r="A434" s="17"/>
      <c r="B434" s="149"/>
      <c r="C434" s="149"/>
      <c r="D434" s="150" t="s">
        <v>381</v>
      </c>
      <c r="E434" s="163"/>
      <c r="F434" s="156">
        <v>3</v>
      </c>
      <c r="G434" s="156">
        <v>5.64</v>
      </c>
      <c r="H434" s="142"/>
      <c r="I434" s="142"/>
      <c r="J434" s="156"/>
      <c r="K434" s="26">
        <f t="shared" ref="K434:K436" si="26">F434*G434</f>
        <v>16.919999999999998</v>
      </c>
    </row>
    <row r="435" spans="1:11">
      <c r="A435" s="17"/>
      <c r="B435" s="149"/>
      <c r="C435" s="149"/>
      <c r="D435" s="150" t="s">
        <v>382</v>
      </c>
      <c r="E435" s="163"/>
      <c r="F435" s="156">
        <v>3</v>
      </c>
      <c r="G435" s="156">
        <v>5.64</v>
      </c>
      <c r="H435" s="142"/>
      <c r="I435" s="142"/>
      <c r="J435" s="156"/>
      <c r="K435" s="26">
        <f t="shared" si="26"/>
        <v>16.919999999999998</v>
      </c>
    </row>
    <row r="436" spans="1:11">
      <c r="A436" s="17"/>
      <c r="B436" s="149"/>
      <c r="C436" s="149"/>
      <c r="D436" s="150" t="s">
        <v>383</v>
      </c>
      <c r="E436" s="163"/>
      <c r="F436" s="156">
        <v>3</v>
      </c>
      <c r="G436" s="156">
        <v>5.64</v>
      </c>
      <c r="H436" s="142"/>
      <c r="I436" s="142"/>
      <c r="J436" s="156"/>
      <c r="K436" s="26">
        <f t="shared" si="26"/>
        <v>16.919999999999998</v>
      </c>
    </row>
    <row r="437" spans="1:11">
      <c r="A437" s="17"/>
      <c r="B437" s="149"/>
      <c r="C437" s="149"/>
      <c r="D437" s="150" t="s">
        <v>139</v>
      </c>
      <c r="E437" s="163"/>
      <c r="F437" s="156"/>
      <c r="G437" s="156"/>
      <c r="H437" s="142"/>
      <c r="I437" s="142"/>
      <c r="J437" s="156"/>
      <c r="K437" s="26">
        <v>34.56</v>
      </c>
    </row>
    <row r="438" spans="1:11">
      <c r="A438" s="17"/>
      <c r="B438" s="149"/>
      <c r="C438" s="149"/>
      <c r="D438" s="150" t="s">
        <v>384</v>
      </c>
      <c r="E438" s="163"/>
      <c r="F438" s="156">
        <v>1.47</v>
      </c>
      <c r="G438" s="156">
        <v>4.72</v>
      </c>
      <c r="H438" s="142"/>
      <c r="I438" s="142"/>
      <c r="J438" s="156"/>
      <c r="K438" s="26">
        <f t="shared" si="25"/>
        <v>6.9383999999999997</v>
      </c>
    </row>
    <row r="439" spans="1:11">
      <c r="A439" s="17"/>
      <c r="B439" s="149"/>
      <c r="C439" s="149"/>
      <c r="D439" s="150" t="s">
        <v>385</v>
      </c>
      <c r="E439" s="163"/>
      <c r="F439" s="156">
        <v>1.94</v>
      </c>
      <c r="G439" s="156">
        <v>4.38</v>
      </c>
      <c r="H439" s="142"/>
      <c r="I439" s="142"/>
      <c r="J439" s="156"/>
      <c r="K439" s="26">
        <f t="shared" si="25"/>
        <v>8.4971999999999994</v>
      </c>
    </row>
    <row r="440" spans="1:11">
      <c r="A440" s="17"/>
      <c r="B440" s="149"/>
      <c r="C440" s="149"/>
      <c r="D440" s="150" t="s">
        <v>386</v>
      </c>
      <c r="E440" s="163"/>
      <c r="F440" s="156">
        <v>2.7</v>
      </c>
      <c r="G440" s="156">
        <v>2.8</v>
      </c>
      <c r="H440" s="142"/>
      <c r="I440" s="142"/>
      <c r="J440" s="156"/>
      <c r="K440" s="26">
        <f t="shared" si="25"/>
        <v>7.56</v>
      </c>
    </row>
    <row r="441" spans="1:11">
      <c r="A441" s="17"/>
      <c r="B441" s="149"/>
      <c r="C441" s="149"/>
      <c r="D441" s="150" t="s">
        <v>1333</v>
      </c>
      <c r="E441" s="163"/>
      <c r="F441" s="156">
        <v>1.24</v>
      </c>
      <c r="G441" s="156">
        <v>4.42</v>
      </c>
      <c r="H441" s="142"/>
      <c r="I441" s="142"/>
      <c r="J441" s="156"/>
      <c r="K441" s="26">
        <f t="shared" si="25"/>
        <v>5.4807999999999995</v>
      </c>
    </row>
    <row r="442" spans="1:11">
      <c r="A442" s="17"/>
      <c r="B442" s="149"/>
      <c r="C442" s="149"/>
      <c r="D442" s="150" t="s">
        <v>387</v>
      </c>
      <c r="E442" s="163"/>
      <c r="F442" s="156">
        <v>2.6</v>
      </c>
      <c r="G442" s="156">
        <v>2.7</v>
      </c>
      <c r="H442" s="142"/>
      <c r="I442" s="142"/>
      <c r="J442" s="156"/>
      <c r="K442" s="26">
        <f t="shared" si="25"/>
        <v>7.0200000000000005</v>
      </c>
    </row>
    <row r="443" spans="1:11">
      <c r="A443" s="17"/>
      <c r="B443" s="149"/>
      <c r="C443" s="149"/>
      <c r="D443" s="150" t="s">
        <v>388</v>
      </c>
      <c r="E443" s="163"/>
      <c r="F443" s="156">
        <v>1.5</v>
      </c>
      <c r="G443" s="156">
        <v>2.7</v>
      </c>
      <c r="H443" s="142"/>
      <c r="I443" s="142"/>
      <c r="J443" s="156"/>
      <c r="K443" s="26">
        <f t="shared" si="25"/>
        <v>4.0500000000000007</v>
      </c>
    </row>
    <row r="444" spans="1:11">
      <c r="A444" s="17"/>
      <c r="B444" s="149"/>
      <c r="C444" s="149"/>
      <c r="D444" s="150" t="s">
        <v>1332</v>
      </c>
      <c r="E444" s="163"/>
      <c r="F444" s="156">
        <v>2.6</v>
      </c>
      <c r="G444" s="156">
        <v>3.26</v>
      </c>
      <c r="H444" s="142"/>
      <c r="I444" s="142"/>
      <c r="J444" s="156"/>
      <c r="K444" s="26">
        <f t="shared" si="25"/>
        <v>8.4759999999999991</v>
      </c>
    </row>
    <row r="445" spans="1:11">
      <c r="A445" s="17"/>
      <c r="B445" s="149"/>
      <c r="C445" s="149"/>
      <c r="D445" s="150" t="s">
        <v>389</v>
      </c>
      <c r="E445" s="163"/>
      <c r="F445" s="156"/>
      <c r="G445" s="156"/>
      <c r="H445" s="142"/>
      <c r="I445" s="142"/>
      <c r="J445" s="156"/>
      <c r="K445" s="26">
        <v>9.36</v>
      </c>
    </row>
    <row r="446" spans="1:11">
      <c r="A446" s="17"/>
      <c r="B446" s="149"/>
      <c r="C446" s="149"/>
      <c r="D446" s="150"/>
      <c r="E446" s="163"/>
      <c r="F446" s="156"/>
      <c r="G446" s="156"/>
      <c r="H446" s="142"/>
      <c r="I446" s="142"/>
      <c r="J446" s="156"/>
      <c r="K446" s="26"/>
    </row>
    <row r="447" spans="1:11" ht="22.5">
      <c r="A447" s="17" t="s">
        <v>319</v>
      </c>
      <c r="B447" s="149">
        <v>98554</v>
      </c>
      <c r="C447" s="149" t="s">
        <v>9</v>
      </c>
      <c r="D447" s="150" t="s">
        <v>1313</v>
      </c>
      <c r="E447" s="139" t="s">
        <v>208</v>
      </c>
      <c r="F447" s="156"/>
      <c r="G447" s="156"/>
      <c r="H447" s="142"/>
      <c r="I447" s="142"/>
      <c r="J447" s="156"/>
      <c r="K447" s="27">
        <f>K448</f>
        <v>319.3</v>
      </c>
    </row>
    <row r="448" spans="1:11">
      <c r="A448" s="17"/>
      <c r="B448" s="149"/>
      <c r="C448" s="149"/>
      <c r="D448" s="150" t="s">
        <v>485</v>
      </c>
      <c r="E448" s="163"/>
      <c r="F448" s="156">
        <v>1</v>
      </c>
      <c r="G448" s="156">
        <v>319.3</v>
      </c>
      <c r="H448" s="142"/>
      <c r="I448" s="142"/>
      <c r="J448" s="156"/>
      <c r="K448" s="26">
        <f>F448*G448</f>
        <v>319.3</v>
      </c>
    </row>
    <row r="449" spans="1:11">
      <c r="A449" s="17"/>
      <c r="B449" s="149"/>
      <c r="C449" s="149"/>
      <c r="D449" s="150"/>
      <c r="E449" s="163"/>
      <c r="F449" s="156"/>
      <c r="G449" s="156"/>
      <c r="H449" s="156"/>
      <c r="I449" s="156"/>
      <c r="J449" s="156"/>
      <c r="K449" s="26"/>
    </row>
    <row r="450" spans="1:11">
      <c r="A450" s="119" t="s">
        <v>47</v>
      </c>
      <c r="B450" s="176"/>
      <c r="C450" s="176"/>
      <c r="D450" s="177" t="s">
        <v>48</v>
      </c>
      <c r="E450" s="178"/>
      <c r="F450" s="175"/>
      <c r="G450" s="175"/>
      <c r="H450" s="175"/>
      <c r="I450" s="175"/>
      <c r="J450" s="175"/>
      <c r="K450" s="120"/>
    </row>
    <row r="451" spans="1:11" s="12" customFormat="1">
      <c r="A451" s="16"/>
      <c r="B451" s="139"/>
      <c r="C451" s="139"/>
      <c r="D451" s="148" t="s">
        <v>134</v>
      </c>
      <c r="E451" s="153"/>
      <c r="F451" s="142"/>
      <c r="G451" s="142"/>
      <c r="H451" s="142"/>
      <c r="I451" s="142"/>
      <c r="J451" s="142"/>
      <c r="K451" s="20"/>
    </row>
    <row r="452" spans="1:11" s="12" customFormat="1" ht="45">
      <c r="A452" s="18" t="s">
        <v>49</v>
      </c>
      <c r="B452" s="151">
        <v>87273</v>
      </c>
      <c r="C452" s="139" t="s">
        <v>9</v>
      </c>
      <c r="D452" s="165" t="s">
        <v>1344</v>
      </c>
      <c r="E452" s="155" t="s">
        <v>208</v>
      </c>
      <c r="F452" s="142"/>
      <c r="G452" s="142"/>
      <c r="H452" s="142"/>
      <c r="I452" s="142"/>
      <c r="J452" s="142"/>
      <c r="K452" s="21">
        <f>SUM(K453:K467)-K468</f>
        <v>558.81999999999994</v>
      </c>
    </row>
    <row r="453" spans="1:11" s="12" customFormat="1">
      <c r="A453" s="16"/>
      <c r="B453" s="139"/>
      <c r="C453" s="139"/>
      <c r="D453" s="150" t="s">
        <v>1330</v>
      </c>
      <c r="E453" s="153"/>
      <c r="F453" s="162" t="s">
        <v>141</v>
      </c>
      <c r="G453" s="142">
        <v>8.59</v>
      </c>
      <c r="H453" s="142">
        <v>3</v>
      </c>
      <c r="I453" s="142"/>
      <c r="J453" s="142"/>
      <c r="K453" s="20">
        <f t="shared" ref="K453:K467" si="27">G453*H453</f>
        <v>25.77</v>
      </c>
    </row>
    <row r="454" spans="1:11" s="12" customFormat="1">
      <c r="A454" s="16"/>
      <c r="B454" s="139"/>
      <c r="C454" s="139"/>
      <c r="D454" s="150" t="s">
        <v>1331</v>
      </c>
      <c r="E454" s="153"/>
      <c r="F454" s="162" t="s">
        <v>141</v>
      </c>
      <c r="G454" s="142">
        <v>7.17</v>
      </c>
      <c r="H454" s="142">
        <v>3</v>
      </c>
      <c r="I454" s="142"/>
      <c r="J454" s="142"/>
      <c r="K454" s="20">
        <f t="shared" si="27"/>
        <v>21.509999999999998</v>
      </c>
    </row>
    <row r="455" spans="1:11" s="12" customFormat="1">
      <c r="A455" s="16"/>
      <c r="B455" s="139"/>
      <c r="C455" s="139"/>
      <c r="D455" s="150" t="s">
        <v>380</v>
      </c>
      <c r="E455" s="153"/>
      <c r="F455" s="162" t="s">
        <v>141</v>
      </c>
      <c r="G455" s="142">
        <v>17.3</v>
      </c>
      <c r="H455" s="142">
        <v>3</v>
      </c>
      <c r="I455" s="142"/>
      <c r="J455" s="142"/>
      <c r="K455" s="20">
        <f t="shared" si="27"/>
        <v>51.900000000000006</v>
      </c>
    </row>
    <row r="456" spans="1:11" s="12" customFormat="1">
      <c r="A456" s="16"/>
      <c r="B456" s="139"/>
      <c r="C456" s="139"/>
      <c r="D456" s="150" t="s">
        <v>381</v>
      </c>
      <c r="E456" s="153"/>
      <c r="F456" s="162" t="s">
        <v>141</v>
      </c>
      <c r="G456" s="142">
        <v>17.3</v>
      </c>
      <c r="H456" s="142">
        <v>3</v>
      </c>
      <c r="I456" s="142"/>
      <c r="J456" s="142"/>
      <c r="K456" s="20">
        <f t="shared" si="27"/>
        <v>51.900000000000006</v>
      </c>
    </row>
    <row r="457" spans="1:11" s="12" customFormat="1">
      <c r="A457" s="16"/>
      <c r="B457" s="139"/>
      <c r="C457" s="139"/>
      <c r="D457" s="150" t="s">
        <v>382</v>
      </c>
      <c r="E457" s="153"/>
      <c r="F457" s="162" t="s">
        <v>141</v>
      </c>
      <c r="G457" s="142">
        <v>17.3</v>
      </c>
      <c r="H457" s="142">
        <v>3</v>
      </c>
      <c r="I457" s="142"/>
      <c r="J457" s="142"/>
      <c r="K457" s="20">
        <f t="shared" si="27"/>
        <v>51.900000000000006</v>
      </c>
    </row>
    <row r="458" spans="1:11" s="12" customFormat="1">
      <c r="A458" s="16"/>
      <c r="B458" s="139"/>
      <c r="C458" s="139"/>
      <c r="D458" s="150" t="s">
        <v>383</v>
      </c>
      <c r="E458" s="153"/>
      <c r="F458" s="162" t="s">
        <v>141</v>
      </c>
      <c r="G458" s="142">
        <v>17.3</v>
      </c>
      <c r="H458" s="142">
        <v>3</v>
      </c>
      <c r="I458" s="142"/>
      <c r="J458" s="142"/>
      <c r="K458" s="20">
        <f t="shared" si="27"/>
        <v>51.900000000000006</v>
      </c>
    </row>
    <row r="459" spans="1:11" s="12" customFormat="1">
      <c r="A459" s="16"/>
      <c r="B459" s="139"/>
      <c r="C459" s="139"/>
      <c r="D459" s="150" t="s">
        <v>139</v>
      </c>
      <c r="E459" s="153"/>
      <c r="F459" s="162" t="s">
        <v>141</v>
      </c>
      <c r="G459" s="142">
        <v>23.9</v>
      </c>
      <c r="H459" s="142">
        <v>3</v>
      </c>
      <c r="I459" s="142"/>
      <c r="J459" s="142"/>
      <c r="K459" s="20">
        <f t="shared" si="27"/>
        <v>71.699999999999989</v>
      </c>
    </row>
    <row r="460" spans="1:11" s="12" customFormat="1">
      <c r="A460" s="16"/>
      <c r="B460" s="139"/>
      <c r="C460" s="139"/>
      <c r="D460" s="150" t="s">
        <v>384</v>
      </c>
      <c r="E460" s="153"/>
      <c r="F460" s="162" t="s">
        <v>141</v>
      </c>
      <c r="G460" s="142">
        <v>12.42</v>
      </c>
      <c r="H460" s="142">
        <v>3</v>
      </c>
      <c r="I460" s="142"/>
      <c r="J460" s="142"/>
      <c r="K460" s="20">
        <f t="shared" si="27"/>
        <v>37.26</v>
      </c>
    </row>
    <row r="461" spans="1:11" s="12" customFormat="1">
      <c r="A461" s="16"/>
      <c r="B461" s="139"/>
      <c r="C461" s="139"/>
      <c r="D461" s="150" t="s">
        <v>385</v>
      </c>
      <c r="E461" s="153"/>
      <c r="F461" s="162" t="s">
        <v>141</v>
      </c>
      <c r="G461" s="142">
        <v>12.64</v>
      </c>
      <c r="H461" s="142">
        <v>3</v>
      </c>
      <c r="I461" s="142"/>
      <c r="J461" s="142"/>
      <c r="K461" s="20">
        <f t="shared" si="27"/>
        <v>37.92</v>
      </c>
    </row>
    <row r="462" spans="1:11" s="12" customFormat="1">
      <c r="A462" s="16"/>
      <c r="B462" s="139"/>
      <c r="C462" s="139"/>
      <c r="D462" s="150" t="s">
        <v>386</v>
      </c>
      <c r="E462" s="153"/>
      <c r="F462" s="162" t="s">
        <v>141</v>
      </c>
      <c r="G462" s="142">
        <v>11</v>
      </c>
      <c r="H462" s="142">
        <v>3</v>
      </c>
      <c r="I462" s="142"/>
      <c r="J462" s="142"/>
      <c r="K462" s="20">
        <f t="shared" si="27"/>
        <v>33</v>
      </c>
    </row>
    <row r="463" spans="1:11" s="12" customFormat="1">
      <c r="A463" s="16"/>
      <c r="B463" s="139"/>
      <c r="C463" s="139"/>
      <c r="D463" s="150" t="s">
        <v>1333</v>
      </c>
      <c r="E463" s="153"/>
      <c r="F463" s="162" t="s">
        <v>141</v>
      </c>
      <c r="G463" s="142">
        <v>11.21</v>
      </c>
      <c r="H463" s="142">
        <v>3</v>
      </c>
      <c r="I463" s="142"/>
      <c r="J463" s="142"/>
      <c r="K463" s="20">
        <f t="shared" si="27"/>
        <v>33.630000000000003</v>
      </c>
    </row>
    <row r="464" spans="1:11" s="12" customFormat="1">
      <c r="A464" s="16"/>
      <c r="B464" s="139"/>
      <c r="C464" s="139"/>
      <c r="D464" s="150" t="s">
        <v>387</v>
      </c>
      <c r="E464" s="153"/>
      <c r="F464" s="162" t="s">
        <v>141</v>
      </c>
      <c r="G464" s="142">
        <v>10.59</v>
      </c>
      <c r="H464" s="142">
        <v>3</v>
      </c>
      <c r="I464" s="142"/>
      <c r="J464" s="142"/>
      <c r="K464" s="20">
        <f t="shared" si="27"/>
        <v>31.77</v>
      </c>
    </row>
    <row r="465" spans="1:15" s="12" customFormat="1">
      <c r="A465" s="16"/>
      <c r="B465" s="139"/>
      <c r="C465" s="139"/>
      <c r="D465" s="150" t="s">
        <v>388</v>
      </c>
      <c r="E465" s="153"/>
      <c r="F465" s="162" t="s">
        <v>141</v>
      </c>
      <c r="G465" s="142">
        <v>8.4</v>
      </c>
      <c r="H465" s="142">
        <v>3</v>
      </c>
      <c r="I465" s="142"/>
      <c r="J465" s="142"/>
      <c r="K465" s="20">
        <f t="shared" si="27"/>
        <v>25.200000000000003</v>
      </c>
    </row>
    <row r="466" spans="1:15" s="12" customFormat="1">
      <c r="A466" s="16"/>
      <c r="B466" s="139"/>
      <c r="C466" s="139"/>
      <c r="D466" s="150" t="s">
        <v>1332</v>
      </c>
      <c r="E466" s="153"/>
      <c r="F466" s="162" t="s">
        <v>141</v>
      </c>
      <c r="G466" s="142">
        <v>11.6</v>
      </c>
      <c r="H466" s="142">
        <v>3</v>
      </c>
      <c r="I466" s="142"/>
      <c r="J466" s="142"/>
      <c r="K466" s="20">
        <f t="shared" si="27"/>
        <v>34.799999999999997</v>
      </c>
    </row>
    <row r="467" spans="1:15" s="12" customFormat="1">
      <c r="A467" s="16"/>
      <c r="B467" s="139"/>
      <c r="C467" s="139"/>
      <c r="D467" s="150" t="s">
        <v>389</v>
      </c>
      <c r="E467" s="153"/>
      <c r="F467" s="162" t="s">
        <v>141</v>
      </c>
      <c r="G467" s="142">
        <v>19.72</v>
      </c>
      <c r="H467" s="142">
        <v>3</v>
      </c>
      <c r="I467" s="142"/>
      <c r="J467" s="142"/>
      <c r="K467" s="20">
        <f t="shared" si="27"/>
        <v>59.16</v>
      </c>
    </row>
    <row r="468" spans="1:15" s="12" customFormat="1">
      <c r="A468" s="16"/>
      <c r="B468" s="139"/>
      <c r="C468" s="139"/>
      <c r="D468" s="190" t="s">
        <v>132</v>
      </c>
      <c r="E468" s="201" t="s">
        <v>10</v>
      </c>
      <c r="F468" s="162"/>
      <c r="G468" s="142"/>
      <c r="H468" s="142"/>
      <c r="I468" s="142"/>
      <c r="J468" s="142"/>
      <c r="K468" s="28">
        <v>60.5</v>
      </c>
    </row>
    <row r="469" spans="1:15" s="12" customFormat="1">
      <c r="A469" s="16"/>
      <c r="B469" s="139"/>
      <c r="C469" s="139"/>
      <c r="D469" s="190"/>
      <c r="E469" s="153"/>
      <c r="F469" s="162"/>
      <c r="G469" s="142"/>
      <c r="H469" s="142"/>
      <c r="I469" s="142"/>
      <c r="J469" s="142"/>
      <c r="K469" s="28"/>
    </row>
    <row r="470" spans="1:15" s="12" customFormat="1" ht="22.5">
      <c r="A470" s="16" t="s">
        <v>50</v>
      </c>
      <c r="B470" s="139" t="s">
        <v>212</v>
      </c>
      <c r="C470" s="139" t="s">
        <v>11</v>
      </c>
      <c r="D470" s="147" t="s">
        <v>1345</v>
      </c>
      <c r="E470" s="155" t="s">
        <v>208</v>
      </c>
      <c r="F470" s="142"/>
      <c r="G470" s="142"/>
      <c r="H470" s="142"/>
      <c r="I470" s="142"/>
      <c r="J470" s="142"/>
      <c r="K470" s="21">
        <f>SUM(K471:K500)-K501</f>
        <v>698.7299999999999</v>
      </c>
    </row>
    <row r="471" spans="1:15" s="12" customFormat="1">
      <c r="A471" s="16"/>
      <c r="B471" s="139"/>
      <c r="C471" s="139"/>
      <c r="D471" s="150" t="s">
        <v>361</v>
      </c>
      <c r="E471" s="153"/>
      <c r="F471" s="162" t="s">
        <v>141</v>
      </c>
      <c r="G471" s="142">
        <v>15.6</v>
      </c>
      <c r="H471" s="142">
        <v>1.5</v>
      </c>
      <c r="I471" s="142"/>
      <c r="J471" s="142"/>
      <c r="K471" s="20">
        <f t="shared" ref="K471:K513" si="28">G471*H471</f>
        <v>23.4</v>
      </c>
      <c r="M471" s="45"/>
      <c r="N471" s="45"/>
      <c r="O471" s="145"/>
    </row>
    <row r="472" spans="1:15" s="12" customFormat="1">
      <c r="A472" s="16"/>
      <c r="B472" s="139"/>
      <c r="C472" s="139"/>
      <c r="D472" s="150" t="s">
        <v>144</v>
      </c>
      <c r="E472" s="153"/>
      <c r="F472" s="162" t="s">
        <v>141</v>
      </c>
      <c r="G472" s="142">
        <v>18.38</v>
      </c>
      <c r="H472" s="142">
        <v>1.5</v>
      </c>
      <c r="I472" s="142"/>
      <c r="J472" s="142"/>
      <c r="K472" s="20">
        <f t="shared" si="28"/>
        <v>27.57</v>
      </c>
      <c r="M472" s="45"/>
      <c r="N472" s="45"/>
      <c r="O472" s="145"/>
    </row>
    <row r="473" spans="1:15" s="12" customFormat="1">
      <c r="A473" s="16"/>
      <c r="B473" s="139"/>
      <c r="C473" s="139"/>
      <c r="D473" s="150" t="s">
        <v>143</v>
      </c>
      <c r="E473" s="153"/>
      <c r="F473" s="162" t="s">
        <v>141</v>
      </c>
      <c r="G473" s="142">
        <v>16.399999999999999</v>
      </c>
      <c r="H473" s="142">
        <v>1.5</v>
      </c>
      <c r="I473" s="142"/>
      <c r="J473" s="142"/>
      <c r="K473" s="20">
        <f t="shared" si="28"/>
        <v>24.599999999999998</v>
      </c>
      <c r="M473" s="45"/>
      <c r="N473" s="45"/>
      <c r="O473" s="145"/>
    </row>
    <row r="474" spans="1:15" s="12" customFormat="1">
      <c r="A474" s="16"/>
      <c r="B474" s="139"/>
      <c r="C474" s="139"/>
      <c r="D474" s="150" t="s">
        <v>362</v>
      </c>
      <c r="E474" s="153"/>
      <c r="F474" s="162" t="s">
        <v>141</v>
      </c>
      <c r="G474" s="142">
        <v>23.37</v>
      </c>
      <c r="H474" s="142">
        <v>1.5</v>
      </c>
      <c r="I474" s="142"/>
      <c r="J474" s="142"/>
      <c r="K474" s="20">
        <f t="shared" si="28"/>
        <v>35.055</v>
      </c>
      <c r="M474" s="45"/>
      <c r="N474" s="45"/>
      <c r="O474" s="145"/>
    </row>
    <row r="475" spans="1:15" s="12" customFormat="1">
      <c r="A475" s="16"/>
      <c r="B475" s="139"/>
      <c r="C475" s="139"/>
      <c r="D475" s="150" t="s">
        <v>366</v>
      </c>
      <c r="E475" s="153"/>
      <c r="F475" s="162" t="s">
        <v>141</v>
      </c>
      <c r="G475" s="142">
        <v>14.64</v>
      </c>
      <c r="H475" s="142">
        <v>1.5</v>
      </c>
      <c r="I475" s="142"/>
      <c r="J475" s="142"/>
      <c r="K475" s="20">
        <f t="shared" si="28"/>
        <v>21.96</v>
      </c>
      <c r="M475" s="45"/>
      <c r="N475" s="45"/>
      <c r="O475" s="145"/>
    </row>
    <row r="476" spans="1:15" s="12" customFormat="1">
      <c r="A476" s="16"/>
      <c r="B476" s="139"/>
      <c r="C476" s="139"/>
      <c r="D476" s="150" t="s">
        <v>363</v>
      </c>
      <c r="E476" s="153"/>
      <c r="F476" s="162" t="s">
        <v>141</v>
      </c>
      <c r="G476" s="142">
        <v>23.37</v>
      </c>
      <c r="H476" s="142">
        <v>1.5</v>
      </c>
      <c r="I476" s="142"/>
      <c r="J476" s="142"/>
      <c r="K476" s="20">
        <f t="shared" si="28"/>
        <v>35.055</v>
      </c>
      <c r="M476" s="45"/>
      <c r="N476" s="45"/>
      <c r="O476" s="145"/>
    </row>
    <row r="477" spans="1:15" s="12" customFormat="1">
      <c r="A477" s="16"/>
      <c r="B477" s="139"/>
      <c r="C477" s="139"/>
      <c r="D477" s="150" t="s">
        <v>367</v>
      </c>
      <c r="E477" s="153"/>
      <c r="F477" s="162" t="s">
        <v>141</v>
      </c>
      <c r="G477" s="142">
        <v>14.64</v>
      </c>
      <c r="H477" s="142">
        <v>1.5</v>
      </c>
      <c r="I477" s="142"/>
      <c r="J477" s="142"/>
      <c r="K477" s="20">
        <f t="shared" si="28"/>
        <v>21.96</v>
      </c>
      <c r="M477" s="45"/>
      <c r="N477" s="45"/>
      <c r="O477" s="145"/>
    </row>
    <row r="478" spans="1:15" s="12" customFormat="1">
      <c r="A478" s="16"/>
      <c r="B478" s="139"/>
      <c r="C478" s="139"/>
      <c r="D478" s="150" t="s">
        <v>368</v>
      </c>
      <c r="E478" s="153"/>
      <c r="F478" s="162" t="s">
        <v>141</v>
      </c>
      <c r="G478" s="142">
        <v>12</v>
      </c>
      <c r="H478" s="142">
        <v>1.5</v>
      </c>
      <c r="I478" s="142"/>
      <c r="J478" s="142"/>
      <c r="K478" s="20">
        <f t="shared" si="28"/>
        <v>18</v>
      </c>
      <c r="M478" s="45"/>
      <c r="N478" s="45"/>
      <c r="O478" s="145"/>
    </row>
    <row r="479" spans="1:15" s="12" customFormat="1">
      <c r="A479" s="16"/>
      <c r="B479" s="139"/>
      <c r="C479" s="139"/>
      <c r="D479" s="150" t="s">
        <v>369</v>
      </c>
      <c r="E479" s="153"/>
      <c r="F479" s="162" t="s">
        <v>141</v>
      </c>
      <c r="G479" s="142">
        <v>11.44</v>
      </c>
      <c r="H479" s="142">
        <v>1.5</v>
      </c>
      <c r="I479" s="142"/>
      <c r="J479" s="142"/>
      <c r="K479" s="20">
        <f t="shared" si="28"/>
        <v>17.16</v>
      </c>
      <c r="M479" s="45"/>
      <c r="N479" s="45"/>
      <c r="O479" s="145"/>
    </row>
    <row r="480" spans="1:15" s="12" customFormat="1">
      <c r="A480" s="16"/>
      <c r="B480" s="139"/>
      <c r="C480" s="139"/>
      <c r="D480" s="150" t="s">
        <v>370</v>
      </c>
      <c r="E480" s="153"/>
      <c r="F480" s="162" t="s">
        <v>141</v>
      </c>
      <c r="G480" s="142">
        <v>12</v>
      </c>
      <c r="H480" s="142">
        <v>1.5</v>
      </c>
      <c r="I480" s="142"/>
      <c r="J480" s="142"/>
      <c r="K480" s="20">
        <f t="shared" si="28"/>
        <v>18</v>
      </c>
      <c r="M480" s="45"/>
      <c r="N480" s="45"/>
      <c r="O480" s="145"/>
    </row>
    <row r="481" spans="1:15" s="12" customFormat="1">
      <c r="A481" s="16"/>
      <c r="B481" s="139"/>
      <c r="C481" s="139"/>
      <c r="D481" s="150" t="s">
        <v>371</v>
      </c>
      <c r="E481" s="153"/>
      <c r="F481" s="162" t="s">
        <v>141</v>
      </c>
      <c r="G481" s="142">
        <v>11.44</v>
      </c>
      <c r="H481" s="142">
        <v>1.5</v>
      </c>
      <c r="I481" s="142"/>
      <c r="J481" s="142"/>
      <c r="K481" s="20">
        <f t="shared" si="28"/>
        <v>17.16</v>
      </c>
      <c r="M481" s="45"/>
      <c r="N481" s="45"/>
      <c r="O481" s="145"/>
    </row>
    <row r="482" spans="1:15" s="12" customFormat="1">
      <c r="A482" s="16"/>
      <c r="B482" s="139"/>
      <c r="C482" s="139"/>
      <c r="D482" s="150" t="s">
        <v>364</v>
      </c>
      <c r="E482" s="153"/>
      <c r="F482" s="162" t="s">
        <v>141</v>
      </c>
      <c r="G482" s="142">
        <v>23.37</v>
      </c>
      <c r="H482" s="142">
        <v>1.5</v>
      </c>
      <c r="I482" s="142"/>
      <c r="J482" s="142"/>
      <c r="K482" s="20">
        <f t="shared" si="28"/>
        <v>35.055</v>
      </c>
      <c r="M482" s="45"/>
      <c r="N482" s="45"/>
      <c r="O482" s="145"/>
    </row>
    <row r="483" spans="1:15" s="12" customFormat="1">
      <c r="A483" s="16"/>
      <c r="B483" s="139"/>
      <c r="C483" s="139"/>
      <c r="D483" s="150" t="s">
        <v>372</v>
      </c>
      <c r="E483" s="153"/>
      <c r="F483" s="162" t="s">
        <v>141</v>
      </c>
      <c r="G483" s="142">
        <v>14.64</v>
      </c>
      <c r="H483" s="142">
        <v>1.5</v>
      </c>
      <c r="I483" s="142"/>
      <c r="J483" s="142"/>
      <c r="K483" s="20">
        <f t="shared" si="28"/>
        <v>21.96</v>
      </c>
      <c r="M483" s="45"/>
      <c r="N483" s="45"/>
      <c r="O483" s="145"/>
    </row>
    <row r="484" spans="1:15" s="12" customFormat="1">
      <c r="A484" s="16"/>
      <c r="B484" s="139"/>
      <c r="C484" s="139"/>
      <c r="D484" s="150" t="s">
        <v>365</v>
      </c>
      <c r="E484" s="153"/>
      <c r="F484" s="162" t="s">
        <v>141</v>
      </c>
      <c r="G484" s="142">
        <v>23.37</v>
      </c>
      <c r="H484" s="142">
        <v>1.5</v>
      </c>
      <c r="I484" s="142"/>
      <c r="J484" s="142"/>
      <c r="K484" s="20">
        <f t="shared" si="28"/>
        <v>35.055</v>
      </c>
      <c r="M484" s="45"/>
      <c r="N484" s="45"/>
      <c r="O484" s="145"/>
    </row>
    <row r="485" spans="1:15" s="12" customFormat="1">
      <c r="A485" s="16"/>
      <c r="B485" s="139"/>
      <c r="C485" s="139"/>
      <c r="D485" s="150" t="s">
        <v>373</v>
      </c>
      <c r="E485" s="153"/>
      <c r="F485" s="162" t="s">
        <v>141</v>
      </c>
      <c r="G485" s="142">
        <v>14.64</v>
      </c>
      <c r="H485" s="142">
        <v>1.5</v>
      </c>
      <c r="I485" s="142"/>
      <c r="J485" s="142"/>
      <c r="K485" s="20">
        <f t="shared" si="28"/>
        <v>21.96</v>
      </c>
      <c r="M485" s="45"/>
      <c r="N485" s="45"/>
      <c r="O485" s="145"/>
    </row>
    <row r="486" spans="1:15" s="12" customFormat="1">
      <c r="A486" s="16"/>
      <c r="B486" s="139"/>
      <c r="C486" s="139"/>
      <c r="D486" s="150" t="s">
        <v>390</v>
      </c>
      <c r="E486" s="153"/>
      <c r="F486" s="162" t="s">
        <v>141</v>
      </c>
      <c r="G486" s="142">
        <v>12</v>
      </c>
      <c r="H486" s="142">
        <v>1.5</v>
      </c>
      <c r="I486" s="142"/>
      <c r="J486" s="142"/>
      <c r="K486" s="20">
        <f t="shared" si="28"/>
        <v>18</v>
      </c>
      <c r="M486" s="45"/>
      <c r="N486" s="45"/>
      <c r="O486" s="145"/>
    </row>
    <row r="487" spans="1:15" s="12" customFormat="1">
      <c r="A487" s="16"/>
      <c r="B487" s="139"/>
      <c r="C487" s="139"/>
      <c r="D487" s="150" t="s">
        <v>393</v>
      </c>
      <c r="E487" s="153"/>
      <c r="F487" s="162" t="s">
        <v>141</v>
      </c>
      <c r="G487" s="142">
        <v>11.44</v>
      </c>
      <c r="H487" s="142">
        <v>1.5</v>
      </c>
      <c r="I487" s="142"/>
      <c r="J487" s="142"/>
      <c r="K487" s="20">
        <f t="shared" si="28"/>
        <v>17.16</v>
      </c>
      <c r="M487" s="45"/>
      <c r="N487" s="45"/>
      <c r="O487" s="145"/>
    </row>
    <row r="488" spans="1:15" s="12" customFormat="1">
      <c r="A488" s="16"/>
      <c r="B488" s="139"/>
      <c r="C488" s="139"/>
      <c r="D488" s="150" t="s">
        <v>391</v>
      </c>
      <c r="E488" s="153"/>
      <c r="F488" s="162" t="s">
        <v>141</v>
      </c>
      <c r="G488" s="142">
        <v>12</v>
      </c>
      <c r="H488" s="142">
        <v>1.5</v>
      </c>
      <c r="I488" s="142"/>
      <c r="J488" s="142"/>
      <c r="K488" s="20">
        <f t="shared" si="28"/>
        <v>18</v>
      </c>
      <c r="M488" s="45"/>
      <c r="N488" s="45"/>
      <c r="O488" s="145"/>
    </row>
    <row r="489" spans="1:15" s="12" customFormat="1">
      <c r="A489" s="16"/>
      <c r="B489" s="139"/>
      <c r="C489" s="139"/>
      <c r="D489" s="150" t="s">
        <v>392</v>
      </c>
      <c r="E489" s="153"/>
      <c r="F489" s="162" t="s">
        <v>141</v>
      </c>
      <c r="G489" s="142">
        <v>11.44</v>
      </c>
      <c r="H489" s="142">
        <v>1.5</v>
      </c>
      <c r="I489" s="142"/>
      <c r="J489" s="142"/>
      <c r="K489" s="20">
        <f t="shared" si="28"/>
        <v>17.16</v>
      </c>
      <c r="M489" s="45"/>
      <c r="N489" s="45"/>
      <c r="O489" s="145"/>
    </row>
    <row r="490" spans="1:15" s="12" customFormat="1">
      <c r="A490" s="16"/>
      <c r="B490" s="139"/>
      <c r="C490" s="139"/>
      <c r="D490" s="150" t="s">
        <v>1314</v>
      </c>
      <c r="E490" s="153"/>
      <c r="F490" s="162" t="s">
        <v>141</v>
      </c>
      <c r="G490" s="142">
        <v>23.37</v>
      </c>
      <c r="H490" s="142">
        <v>1.5</v>
      </c>
      <c r="I490" s="142"/>
      <c r="J490" s="142"/>
      <c r="K490" s="20">
        <f t="shared" si="28"/>
        <v>35.055</v>
      </c>
      <c r="M490" s="45"/>
      <c r="N490" s="45"/>
      <c r="O490" s="145"/>
    </row>
    <row r="491" spans="1:15" s="12" customFormat="1">
      <c r="A491" s="16"/>
      <c r="B491" s="139"/>
      <c r="C491" s="139"/>
      <c r="D491" s="150" t="s">
        <v>1315</v>
      </c>
      <c r="E491" s="153"/>
      <c r="F491" s="162" t="s">
        <v>141</v>
      </c>
      <c r="G491" s="142">
        <v>14.64</v>
      </c>
      <c r="H491" s="142">
        <v>1.5</v>
      </c>
      <c r="I491" s="142"/>
      <c r="J491" s="142"/>
      <c r="K491" s="20">
        <f t="shared" si="28"/>
        <v>21.96</v>
      </c>
      <c r="M491" s="45"/>
      <c r="N491" s="45"/>
      <c r="O491" s="145"/>
    </row>
    <row r="492" spans="1:15" s="12" customFormat="1">
      <c r="A492" s="16"/>
      <c r="B492" s="139"/>
      <c r="C492" s="139"/>
      <c r="D492" s="150" t="s">
        <v>1317</v>
      </c>
      <c r="E492" s="153"/>
      <c r="F492" s="162" t="s">
        <v>141</v>
      </c>
      <c r="G492" s="142">
        <v>23.37</v>
      </c>
      <c r="H492" s="142">
        <v>1.5</v>
      </c>
      <c r="I492" s="142"/>
      <c r="J492" s="142"/>
      <c r="K492" s="20">
        <f t="shared" si="28"/>
        <v>35.055</v>
      </c>
      <c r="M492" s="45"/>
      <c r="N492" s="45"/>
      <c r="O492" s="145"/>
    </row>
    <row r="493" spans="1:15" s="12" customFormat="1">
      <c r="A493" s="16"/>
      <c r="B493" s="139"/>
      <c r="C493" s="139"/>
      <c r="D493" s="150" t="s">
        <v>1318</v>
      </c>
      <c r="E493" s="153"/>
      <c r="F493" s="162" t="s">
        <v>141</v>
      </c>
      <c r="G493" s="142">
        <v>14.64</v>
      </c>
      <c r="H493" s="142">
        <v>1.5</v>
      </c>
      <c r="I493" s="142"/>
      <c r="J493" s="142"/>
      <c r="K493" s="20">
        <f t="shared" si="28"/>
        <v>21.96</v>
      </c>
      <c r="M493" s="45"/>
      <c r="N493" s="45"/>
      <c r="O493" s="145"/>
    </row>
    <row r="494" spans="1:15" s="12" customFormat="1">
      <c r="A494" s="16"/>
      <c r="B494" s="139"/>
      <c r="C494" s="139"/>
      <c r="D494" s="150" t="s">
        <v>1316</v>
      </c>
      <c r="E494" s="153"/>
      <c r="F494" s="162" t="s">
        <v>141</v>
      </c>
      <c r="G494" s="142">
        <v>12</v>
      </c>
      <c r="H494" s="142">
        <v>1.5</v>
      </c>
      <c r="I494" s="142"/>
      <c r="J494" s="142"/>
      <c r="K494" s="20">
        <f t="shared" si="28"/>
        <v>18</v>
      </c>
      <c r="M494" s="45"/>
      <c r="N494" s="45"/>
      <c r="O494" s="145"/>
    </row>
    <row r="495" spans="1:15" s="12" customFormat="1">
      <c r="A495" s="16"/>
      <c r="B495" s="139"/>
      <c r="C495" s="139"/>
      <c r="D495" s="150" t="s">
        <v>1319</v>
      </c>
      <c r="E495" s="153"/>
      <c r="F495" s="162" t="s">
        <v>141</v>
      </c>
      <c r="G495" s="142">
        <v>11.44</v>
      </c>
      <c r="H495" s="142">
        <v>1.5</v>
      </c>
      <c r="I495" s="142"/>
      <c r="J495" s="142"/>
      <c r="K495" s="20">
        <f t="shared" si="28"/>
        <v>17.16</v>
      </c>
      <c r="M495" s="45"/>
      <c r="N495" s="45"/>
      <c r="O495" s="145"/>
    </row>
    <row r="496" spans="1:15" s="12" customFormat="1">
      <c r="A496" s="16"/>
      <c r="B496" s="139"/>
      <c r="C496" s="139"/>
      <c r="D496" s="150" t="s">
        <v>1320</v>
      </c>
      <c r="E496" s="153"/>
      <c r="F496" s="162" t="s">
        <v>141</v>
      </c>
      <c r="G496" s="142">
        <v>12</v>
      </c>
      <c r="H496" s="142">
        <v>1.5</v>
      </c>
      <c r="I496" s="142"/>
      <c r="J496" s="142"/>
      <c r="K496" s="20">
        <f t="shared" si="28"/>
        <v>18</v>
      </c>
      <c r="M496" s="45"/>
      <c r="N496" s="45"/>
      <c r="O496" s="145"/>
    </row>
    <row r="497" spans="1:15" s="12" customFormat="1">
      <c r="A497" s="16"/>
      <c r="B497" s="139"/>
      <c r="C497" s="139"/>
      <c r="D497" s="150" t="s">
        <v>1321</v>
      </c>
      <c r="E497" s="153"/>
      <c r="F497" s="162" t="s">
        <v>141</v>
      </c>
      <c r="G497" s="142">
        <v>11.44</v>
      </c>
      <c r="H497" s="142">
        <v>1.5</v>
      </c>
      <c r="I497" s="142"/>
      <c r="J497" s="142"/>
      <c r="K497" s="20">
        <f t="shared" si="28"/>
        <v>17.16</v>
      </c>
      <c r="M497" s="45"/>
      <c r="N497" s="45"/>
      <c r="O497" s="145"/>
    </row>
    <row r="498" spans="1:15" s="12" customFormat="1">
      <c r="A498" s="16"/>
      <c r="B498" s="139"/>
      <c r="C498" s="139"/>
      <c r="D498" s="150" t="s">
        <v>1322</v>
      </c>
      <c r="E498" s="153"/>
      <c r="F498" s="162" t="s">
        <v>141</v>
      </c>
      <c r="G498" s="142">
        <v>23.37</v>
      </c>
      <c r="H498" s="142">
        <v>1.5</v>
      </c>
      <c r="I498" s="142"/>
      <c r="J498" s="142"/>
      <c r="K498" s="20">
        <f t="shared" si="28"/>
        <v>35.055</v>
      </c>
      <c r="M498" s="45"/>
      <c r="N498" s="45"/>
      <c r="O498" s="145"/>
    </row>
    <row r="499" spans="1:15" s="12" customFormat="1">
      <c r="A499" s="16"/>
      <c r="B499" s="139"/>
      <c r="C499" s="139"/>
      <c r="D499" s="150" t="s">
        <v>1323</v>
      </c>
      <c r="E499" s="153"/>
      <c r="F499" s="162" t="s">
        <v>141</v>
      </c>
      <c r="G499" s="142">
        <v>14.64</v>
      </c>
      <c r="H499" s="142">
        <v>1.5</v>
      </c>
      <c r="I499" s="142"/>
      <c r="J499" s="142"/>
      <c r="K499" s="20">
        <f t="shared" si="28"/>
        <v>21.96</v>
      </c>
      <c r="M499" s="45"/>
      <c r="N499" s="45"/>
      <c r="O499" s="145"/>
    </row>
    <row r="500" spans="1:15" s="12" customFormat="1">
      <c r="A500" s="16"/>
      <c r="B500" s="139"/>
      <c r="C500" s="139"/>
      <c r="D500" s="150" t="s">
        <v>1324</v>
      </c>
      <c r="E500" s="153"/>
      <c r="F500" s="162" t="s">
        <v>141</v>
      </c>
      <c r="G500" s="142">
        <v>23.37</v>
      </c>
      <c r="H500" s="142">
        <v>1.5</v>
      </c>
      <c r="I500" s="142"/>
      <c r="J500" s="142"/>
      <c r="K500" s="20">
        <f t="shared" si="28"/>
        <v>35.055</v>
      </c>
      <c r="M500" s="45"/>
      <c r="N500" s="45"/>
      <c r="O500" s="145"/>
    </row>
    <row r="501" spans="1:15" s="12" customFormat="1">
      <c r="A501" s="16"/>
      <c r="B501" s="139"/>
      <c r="C501" s="139"/>
      <c r="D501" s="150" t="s">
        <v>1325</v>
      </c>
      <c r="E501" s="153"/>
      <c r="F501" s="162" t="s">
        <v>141</v>
      </c>
      <c r="G501" s="142">
        <v>14.64</v>
      </c>
      <c r="H501" s="142">
        <v>1.5</v>
      </c>
      <c r="I501" s="142"/>
      <c r="J501" s="142"/>
      <c r="K501" s="20">
        <f t="shared" si="28"/>
        <v>21.96</v>
      </c>
      <c r="M501" s="45"/>
      <c r="N501" s="45"/>
      <c r="O501" s="145"/>
    </row>
    <row r="502" spans="1:15" s="12" customFormat="1">
      <c r="A502" s="16"/>
      <c r="B502" s="139"/>
      <c r="C502" s="139"/>
      <c r="D502" s="150" t="s">
        <v>1326</v>
      </c>
      <c r="E502" s="153"/>
      <c r="F502" s="162" t="s">
        <v>141</v>
      </c>
      <c r="G502" s="142">
        <v>12</v>
      </c>
      <c r="H502" s="142">
        <v>1.5</v>
      </c>
      <c r="I502" s="142"/>
      <c r="J502" s="142"/>
      <c r="K502" s="20">
        <f t="shared" si="28"/>
        <v>18</v>
      </c>
      <c r="M502" s="45"/>
      <c r="N502" s="45"/>
      <c r="O502" s="145"/>
    </row>
    <row r="503" spans="1:15" s="12" customFormat="1">
      <c r="A503" s="16"/>
      <c r="B503" s="139"/>
      <c r="C503" s="139"/>
      <c r="D503" s="150" t="s">
        <v>1327</v>
      </c>
      <c r="E503" s="153"/>
      <c r="F503" s="162" t="s">
        <v>141</v>
      </c>
      <c r="G503" s="142">
        <v>11.44</v>
      </c>
      <c r="H503" s="142">
        <v>1.5</v>
      </c>
      <c r="I503" s="142"/>
      <c r="J503" s="142"/>
      <c r="K503" s="20">
        <f t="shared" si="28"/>
        <v>17.16</v>
      </c>
      <c r="M503" s="45"/>
      <c r="N503" s="45"/>
      <c r="O503" s="145"/>
    </row>
    <row r="504" spans="1:15" s="12" customFormat="1">
      <c r="A504" s="16"/>
      <c r="B504" s="139"/>
      <c r="C504" s="139"/>
      <c r="D504" s="150" t="s">
        <v>1328</v>
      </c>
      <c r="E504" s="153"/>
      <c r="F504" s="162" t="s">
        <v>141</v>
      </c>
      <c r="G504" s="142">
        <v>12</v>
      </c>
      <c r="H504" s="142">
        <v>1.5</v>
      </c>
      <c r="I504" s="142"/>
      <c r="J504" s="142"/>
      <c r="K504" s="20">
        <f t="shared" si="28"/>
        <v>18</v>
      </c>
      <c r="M504" s="45"/>
      <c r="N504" s="45"/>
      <c r="O504" s="145"/>
    </row>
    <row r="505" spans="1:15" s="12" customFormat="1">
      <c r="A505" s="16"/>
      <c r="B505" s="139"/>
      <c r="C505" s="139"/>
      <c r="D505" s="150" t="s">
        <v>1329</v>
      </c>
      <c r="E505" s="153"/>
      <c r="F505" s="162" t="s">
        <v>141</v>
      </c>
      <c r="G505" s="142">
        <v>11.44</v>
      </c>
      <c r="H505" s="142">
        <v>1.5</v>
      </c>
      <c r="I505" s="142"/>
      <c r="J505" s="142"/>
      <c r="K505" s="20">
        <f t="shared" si="28"/>
        <v>17.16</v>
      </c>
      <c r="M505" s="45"/>
      <c r="N505" s="45"/>
      <c r="O505" s="145"/>
    </row>
    <row r="506" spans="1:15" s="12" customFormat="1">
      <c r="A506" s="16"/>
      <c r="B506" s="139"/>
      <c r="C506" s="139"/>
      <c r="D506" s="150" t="s">
        <v>374</v>
      </c>
      <c r="E506" s="153"/>
      <c r="F506" s="162" t="s">
        <v>141</v>
      </c>
      <c r="G506" s="142">
        <v>25.24</v>
      </c>
      <c r="H506" s="142">
        <v>1.5</v>
      </c>
      <c r="I506" s="142"/>
      <c r="J506" s="142"/>
      <c r="K506" s="20">
        <f t="shared" si="28"/>
        <v>37.86</v>
      </c>
      <c r="M506" s="45"/>
      <c r="N506" s="45"/>
      <c r="O506" s="145"/>
    </row>
    <row r="507" spans="1:15" s="12" customFormat="1">
      <c r="A507" s="16"/>
      <c r="B507" s="139"/>
      <c r="C507" s="139"/>
      <c r="D507" s="150" t="s">
        <v>375</v>
      </c>
      <c r="E507" s="153"/>
      <c r="F507" s="162" t="s">
        <v>141</v>
      </c>
      <c r="G507" s="142">
        <v>25.24</v>
      </c>
      <c r="H507" s="142">
        <v>1.5</v>
      </c>
      <c r="I507" s="142"/>
      <c r="J507" s="142"/>
      <c r="K507" s="20">
        <f t="shared" si="28"/>
        <v>37.86</v>
      </c>
      <c r="M507" s="45"/>
      <c r="N507" s="45"/>
      <c r="O507" s="145"/>
    </row>
    <row r="508" spans="1:15" s="12" customFormat="1">
      <c r="A508" s="16"/>
      <c r="B508" s="139"/>
      <c r="C508" s="139"/>
      <c r="D508" s="150" t="s">
        <v>376</v>
      </c>
      <c r="E508" s="153"/>
      <c r="F508" s="162" t="s">
        <v>141</v>
      </c>
      <c r="G508" s="142">
        <v>25.24</v>
      </c>
      <c r="H508" s="142">
        <v>1.5</v>
      </c>
      <c r="I508" s="142"/>
      <c r="J508" s="142"/>
      <c r="K508" s="20">
        <f t="shared" si="28"/>
        <v>37.86</v>
      </c>
      <c r="M508" s="45"/>
      <c r="N508" s="45"/>
      <c r="O508" s="145"/>
    </row>
    <row r="509" spans="1:15" s="12" customFormat="1">
      <c r="A509" s="16"/>
      <c r="B509" s="139"/>
      <c r="C509" s="139"/>
      <c r="D509" s="150" t="s">
        <v>377</v>
      </c>
      <c r="E509" s="153"/>
      <c r="F509" s="162" t="s">
        <v>141</v>
      </c>
      <c r="G509" s="142">
        <v>25.24</v>
      </c>
      <c r="H509" s="142">
        <v>1.5</v>
      </c>
      <c r="I509" s="142"/>
      <c r="J509" s="142"/>
      <c r="K509" s="20">
        <f t="shared" si="28"/>
        <v>37.86</v>
      </c>
      <c r="M509" s="45"/>
      <c r="N509" s="45"/>
      <c r="O509" s="145"/>
    </row>
    <row r="510" spans="1:15" s="12" customFormat="1">
      <c r="A510" s="16"/>
      <c r="B510" s="139"/>
      <c r="C510" s="139"/>
      <c r="D510" s="150" t="s">
        <v>342</v>
      </c>
      <c r="E510" s="153"/>
      <c r="F510" s="162" t="s">
        <v>141</v>
      </c>
      <c r="G510" s="142">
        <v>31.2</v>
      </c>
      <c r="H510" s="142">
        <v>1.5</v>
      </c>
      <c r="I510" s="142"/>
      <c r="J510" s="142"/>
      <c r="K510" s="20">
        <f t="shared" si="28"/>
        <v>46.8</v>
      </c>
      <c r="M510" s="45"/>
      <c r="N510" s="45"/>
      <c r="O510" s="145"/>
    </row>
    <row r="511" spans="1:15" s="12" customFormat="1">
      <c r="A511" s="16"/>
      <c r="B511" s="139"/>
      <c r="C511" s="139"/>
      <c r="D511" s="376" t="s">
        <v>1239</v>
      </c>
      <c r="E511" s="153"/>
      <c r="F511" s="162" t="s">
        <v>141</v>
      </c>
      <c r="G511" s="142">
        <v>31.2</v>
      </c>
      <c r="H511" s="142">
        <v>1.5</v>
      </c>
      <c r="I511" s="142"/>
      <c r="J511" s="142"/>
      <c r="K511" s="20">
        <f t="shared" si="28"/>
        <v>46.8</v>
      </c>
      <c r="M511" s="45"/>
      <c r="N511" s="45"/>
      <c r="O511" s="145"/>
    </row>
    <row r="512" spans="1:15" s="12" customFormat="1">
      <c r="A512" s="16"/>
      <c r="B512" s="139"/>
      <c r="C512" s="139"/>
      <c r="D512" s="147" t="s">
        <v>378</v>
      </c>
      <c r="E512" s="153"/>
      <c r="F512" s="162" t="s">
        <v>141</v>
      </c>
      <c r="G512" s="142">
        <v>27.72</v>
      </c>
      <c r="H512" s="142">
        <v>1.5</v>
      </c>
      <c r="I512" s="142"/>
      <c r="J512" s="142"/>
      <c r="K512" s="20">
        <f t="shared" si="28"/>
        <v>41.58</v>
      </c>
      <c r="M512" s="45"/>
      <c r="N512" s="45"/>
      <c r="O512" s="145"/>
    </row>
    <row r="513" spans="1:15" s="12" customFormat="1">
      <c r="A513" s="16"/>
      <c r="B513" s="139"/>
      <c r="C513" s="139"/>
      <c r="D513" s="147" t="s">
        <v>379</v>
      </c>
      <c r="E513" s="153"/>
      <c r="F513" s="162" t="s">
        <v>141</v>
      </c>
      <c r="G513" s="142">
        <v>235.5</v>
      </c>
      <c r="H513" s="142">
        <v>1.5</v>
      </c>
      <c r="I513" s="142"/>
      <c r="J513" s="142"/>
      <c r="K513" s="20">
        <f t="shared" si="28"/>
        <v>353.25</v>
      </c>
      <c r="M513" s="45"/>
      <c r="N513" s="45"/>
      <c r="O513" s="145"/>
    </row>
    <row r="514" spans="1:15" s="12" customFormat="1">
      <c r="A514" s="16"/>
      <c r="B514" s="139"/>
      <c r="C514" s="139"/>
      <c r="D514" s="190" t="s">
        <v>132</v>
      </c>
      <c r="E514" s="201" t="s">
        <v>10</v>
      </c>
      <c r="F514" s="162"/>
      <c r="G514" s="142"/>
      <c r="H514" s="142"/>
      <c r="I514" s="142"/>
      <c r="J514" s="142"/>
      <c r="K514" s="28">
        <v>125.3</v>
      </c>
      <c r="M514" s="45"/>
      <c r="N514" s="45"/>
      <c r="O514" s="145"/>
    </row>
    <row r="515" spans="1:15" s="12" customFormat="1">
      <c r="A515" s="16"/>
      <c r="B515" s="139"/>
      <c r="C515" s="139"/>
      <c r="D515" s="147"/>
      <c r="E515" s="153"/>
      <c r="F515" s="162"/>
      <c r="G515" s="142"/>
      <c r="H515" s="142"/>
      <c r="I515" s="142"/>
      <c r="J515" s="142"/>
      <c r="K515" s="20"/>
    </row>
    <row r="516" spans="1:15" s="12" customFormat="1" ht="33.75">
      <c r="A516" s="16" t="s">
        <v>51</v>
      </c>
      <c r="B516" s="139" t="s">
        <v>214</v>
      </c>
      <c r="C516" s="139" t="s">
        <v>11</v>
      </c>
      <c r="D516" s="147" t="s">
        <v>1346</v>
      </c>
      <c r="E516" s="155" t="s">
        <v>208</v>
      </c>
      <c r="F516" s="162"/>
      <c r="G516" s="142"/>
      <c r="H516" s="142"/>
      <c r="I516" s="142"/>
      <c r="J516" s="142"/>
      <c r="K516" s="21">
        <f>K470</f>
        <v>698.7299999999999</v>
      </c>
    </row>
    <row r="517" spans="1:15" s="12" customFormat="1">
      <c r="A517" s="16"/>
      <c r="B517" s="139"/>
      <c r="C517" s="139"/>
      <c r="D517" s="150"/>
      <c r="E517" s="153"/>
      <c r="F517" s="162"/>
      <c r="G517" s="142"/>
      <c r="H517" s="142"/>
      <c r="I517" s="142"/>
      <c r="J517" s="142"/>
      <c r="K517" s="20"/>
    </row>
    <row r="518" spans="1:15" s="12" customFormat="1">
      <c r="A518" s="16"/>
      <c r="B518" s="139"/>
      <c r="C518" s="139"/>
      <c r="D518" s="148" t="s">
        <v>142</v>
      </c>
      <c r="E518" s="153"/>
      <c r="F518" s="162"/>
      <c r="G518" s="142"/>
      <c r="H518" s="142"/>
      <c r="I518" s="142"/>
      <c r="J518" s="142"/>
      <c r="K518" s="20"/>
    </row>
    <row r="519" spans="1:15" s="12" customFormat="1" ht="45">
      <c r="A519" s="17" t="s">
        <v>52</v>
      </c>
      <c r="B519" s="151">
        <v>87894</v>
      </c>
      <c r="C519" s="139" t="s">
        <v>9</v>
      </c>
      <c r="D519" s="165" t="s">
        <v>1347</v>
      </c>
      <c r="E519" s="155" t="s">
        <v>208</v>
      </c>
      <c r="F519" s="156"/>
      <c r="G519" s="156"/>
      <c r="H519" s="156"/>
      <c r="I519" s="156"/>
      <c r="J519" s="156"/>
      <c r="K519" s="27">
        <f>SUM(K521:K523)</f>
        <v>370.8</v>
      </c>
      <c r="L519" s="7"/>
    </row>
    <row r="520" spans="1:15" s="12" customFormat="1">
      <c r="A520" s="16"/>
      <c r="B520" s="139"/>
      <c r="C520" s="139"/>
      <c r="D520" s="147" t="s">
        <v>1455</v>
      </c>
      <c r="E520" s="139"/>
      <c r="F520" s="142"/>
      <c r="G520" s="142"/>
      <c r="H520" s="142"/>
      <c r="I520" s="142"/>
      <c r="J520" s="142"/>
      <c r="K520" s="20"/>
    </row>
    <row r="521" spans="1:15" s="12" customFormat="1">
      <c r="A521" s="16"/>
      <c r="B521" s="395"/>
      <c r="C521" s="395"/>
      <c r="D521" s="409" t="s">
        <v>1452</v>
      </c>
      <c r="E521" s="395"/>
      <c r="F521" s="397"/>
      <c r="G521" s="142">
        <v>40</v>
      </c>
      <c r="H521" s="142">
        <v>2.5</v>
      </c>
      <c r="I521" s="142">
        <v>2</v>
      </c>
      <c r="J521" s="142"/>
      <c r="K521" s="20">
        <f t="shared" ref="K521:K523" si="29">G521*H521*I521</f>
        <v>200</v>
      </c>
    </row>
    <row r="522" spans="1:15" s="12" customFormat="1">
      <c r="A522" s="16"/>
      <c r="B522" s="395"/>
      <c r="C522" s="395"/>
      <c r="D522" s="409" t="s">
        <v>1453</v>
      </c>
      <c r="E522" s="395"/>
      <c r="F522" s="397"/>
      <c r="G522" s="142">
        <v>120</v>
      </c>
      <c r="H522" s="142">
        <v>0.5</v>
      </c>
      <c r="I522" s="142">
        <v>2</v>
      </c>
      <c r="J522" s="142"/>
      <c r="K522" s="20">
        <f t="shared" si="29"/>
        <v>120</v>
      </c>
    </row>
    <row r="523" spans="1:15" s="12" customFormat="1">
      <c r="A523" s="16"/>
      <c r="B523" s="395"/>
      <c r="C523" s="395"/>
      <c r="D523" s="409" t="s">
        <v>1454</v>
      </c>
      <c r="E523" s="395"/>
      <c r="F523" s="397"/>
      <c r="G523" s="142">
        <v>50.8</v>
      </c>
      <c r="H523" s="142">
        <v>0.5</v>
      </c>
      <c r="I523" s="142">
        <v>2</v>
      </c>
      <c r="J523" s="142"/>
      <c r="K523" s="20">
        <f t="shared" si="29"/>
        <v>50.8</v>
      </c>
    </row>
    <row r="524" spans="1:15" s="12" customFormat="1">
      <c r="A524" s="16"/>
      <c r="B524" s="139"/>
      <c r="C524" s="139"/>
      <c r="D524" s="147"/>
      <c r="E524" s="139"/>
      <c r="F524" s="162"/>
      <c r="G524" s="142"/>
      <c r="H524" s="142"/>
      <c r="I524" s="142"/>
      <c r="J524" s="142"/>
      <c r="K524" s="20"/>
    </row>
    <row r="525" spans="1:15" s="12" customFormat="1" ht="45">
      <c r="A525" s="16" t="s">
        <v>53</v>
      </c>
      <c r="B525" s="139">
        <v>87794</v>
      </c>
      <c r="C525" s="139" t="s">
        <v>9</v>
      </c>
      <c r="D525" s="147" t="s">
        <v>1348</v>
      </c>
      <c r="E525" s="155" t="s">
        <v>208</v>
      </c>
      <c r="F525" s="162"/>
      <c r="G525" s="142"/>
      <c r="H525" s="142"/>
      <c r="I525" s="142"/>
      <c r="J525" s="142"/>
      <c r="K525" s="21">
        <f>SUM(K527:K529)</f>
        <v>370.8</v>
      </c>
    </row>
    <row r="526" spans="1:15" s="12" customFormat="1">
      <c r="A526" s="16"/>
      <c r="B526" s="139"/>
      <c r="C526" s="139"/>
      <c r="D526" s="147" t="s">
        <v>1455</v>
      </c>
      <c r="E526" s="139"/>
      <c r="F526" s="142"/>
      <c r="G526" s="142"/>
      <c r="H526" s="142"/>
      <c r="I526" s="142"/>
      <c r="J526" s="142"/>
      <c r="K526" s="20"/>
    </row>
    <row r="527" spans="1:15" s="12" customFormat="1">
      <c r="A527" s="16"/>
      <c r="B527" s="395"/>
      <c r="C527" s="395"/>
      <c r="D527" s="409" t="s">
        <v>1452</v>
      </c>
      <c r="E527" s="395"/>
      <c r="F527" s="397"/>
      <c r="G527" s="142">
        <v>40</v>
      </c>
      <c r="H527" s="142">
        <v>2.5</v>
      </c>
      <c r="I527" s="142">
        <v>2</v>
      </c>
      <c r="J527" s="142"/>
      <c r="K527" s="20">
        <f t="shared" ref="K527:K529" si="30">G527*H527*I527</f>
        <v>200</v>
      </c>
    </row>
    <row r="528" spans="1:15" s="12" customFormat="1">
      <c r="A528" s="16"/>
      <c r="B528" s="395"/>
      <c r="C528" s="395"/>
      <c r="D528" s="409" t="s">
        <v>1453</v>
      </c>
      <c r="E528" s="395"/>
      <c r="F528" s="397"/>
      <c r="G528" s="142">
        <v>120</v>
      </c>
      <c r="H528" s="142">
        <v>0.5</v>
      </c>
      <c r="I528" s="142">
        <v>2</v>
      </c>
      <c r="J528" s="142"/>
      <c r="K528" s="20">
        <f t="shared" si="30"/>
        <v>120</v>
      </c>
    </row>
    <row r="529" spans="1:11" s="12" customFormat="1">
      <c r="A529" s="16"/>
      <c r="B529" s="395"/>
      <c r="C529" s="395"/>
      <c r="D529" s="409" t="s">
        <v>1454</v>
      </c>
      <c r="E529" s="395"/>
      <c r="F529" s="397"/>
      <c r="G529" s="142">
        <v>50.8</v>
      </c>
      <c r="H529" s="142">
        <v>0.5</v>
      </c>
      <c r="I529" s="142">
        <v>2</v>
      </c>
      <c r="J529" s="142"/>
      <c r="K529" s="20">
        <f t="shared" si="30"/>
        <v>50.8</v>
      </c>
    </row>
    <row r="530" spans="1:11" s="12" customFormat="1">
      <c r="A530" s="16"/>
      <c r="B530" s="139"/>
      <c r="C530" s="139"/>
      <c r="D530" s="147"/>
      <c r="E530" s="139"/>
      <c r="F530" s="142"/>
      <c r="G530" s="142"/>
      <c r="H530" s="142"/>
      <c r="I530" s="142"/>
      <c r="J530" s="142"/>
      <c r="K530" s="20"/>
    </row>
    <row r="531" spans="1:11" s="12" customFormat="1" ht="22.5">
      <c r="A531" s="16">
        <v>9.6</v>
      </c>
      <c r="B531" s="139" t="s">
        <v>212</v>
      </c>
      <c r="C531" s="139" t="s">
        <v>11</v>
      </c>
      <c r="D531" s="147" t="s">
        <v>1345</v>
      </c>
      <c r="E531" s="155" t="s">
        <v>208</v>
      </c>
      <c r="F531" s="142"/>
      <c r="G531" s="142"/>
      <c r="H531" s="142"/>
      <c r="I531" s="142"/>
      <c r="J531" s="142"/>
      <c r="K531" s="21">
        <f>K532-K533</f>
        <v>283.76500000000004</v>
      </c>
    </row>
    <row r="532" spans="1:11" s="12" customFormat="1">
      <c r="A532" s="16"/>
      <c r="B532" s="139"/>
      <c r="C532" s="139"/>
      <c r="D532" s="147" t="s">
        <v>1456</v>
      </c>
      <c r="E532" s="139"/>
      <c r="F532" s="142" t="s">
        <v>141</v>
      </c>
      <c r="G532" s="142">
        <v>244.3</v>
      </c>
      <c r="H532" s="142">
        <v>1.5</v>
      </c>
      <c r="I532" s="142"/>
      <c r="J532" s="142"/>
      <c r="K532" s="20">
        <f>G532*H532</f>
        <v>366.45000000000005</v>
      </c>
    </row>
    <row r="533" spans="1:11" s="12" customFormat="1">
      <c r="A533" s="16"/>
      <c r="B533" s="395"/>
      <c r="C533" s="395"/>
      <c r="D533" s="190" t="s">
        <v>132</v>
      </c>
      <c r="E533" s="410" t="s">
        <v>10</v>
      </c>
      <c r="F533" s="411"/>
      <c r="G533" s="411"/>
      <c r="H533" s="411"/>
      <c r="I533" s="411"/>
      <c r="J533" s="411"/>
      <c r="K533" s="28">
        <f>((0.9*1.5*8)+(33*1)+(20*0.4)+(8.89*1.5)+(11.7*1.5))</f>
        <v>82.684999999999988</v>
      </c>
    </row>
    <row r="534" spans="1:11" s="12" customFormat="1">
      <c r="A534" s="16"/>
      <c r="B534" s="139"/>
      <c r="C534" s="139"/>
      <c r="D534" s="147"/>
      <c r="E534" s="139"/>
      <c r="F534" s="142"/>
      <c r="G534" s="142"/>
      <c r="H534" s="142"/>
      <c r="I534" s="142"/>
      <c r="J534" s="142"/>
      <c r="K534" s="20"/>
    </row>
    <row r="535" spans="1:11" s="12" customFormat="1" ht="33.75">
      <c r="A535" s="16">
        <v>9.6999999999999993</v>
      </c>
      <c r="B535" s="139" t="s">
        <v>214</v>
      </c>
      <c r="C535" s="139" t="s">
        <v>11</v>
      </c>
      <c r="D535" s="147" t="s">
        <v>1346</v>
      </c>
      <c r="E535" s="155" t="s">
        <v>208</v>
      </c>
      <c r="F535" s="142"/>
      <c r="G535" s="142"/>
      <c r="H535" s="142"/>
      <c r="I535" s="142"/>
      <c r="J535" s="142"/>
      <c r="K535" s="21">
        <f>K531</f>
        <v>283.76500000000004</v>
      </c>
    </row>
    <row r="536" spans="1:11" s="12" customFormat="1">
      <c r="A536" s="16"/>
      <c r="B536" s="139"/>
      <c r="C536" s="139"/>
      <c r="D536" s="147"/>
      <c r="E536" s="139"/>
      <c r="F536" s="142"/>
      <c r="G536" s="142"/>
      <c r="H536" s="142"/>
      <c r="I536" s="142"/>
      <c r="J536" s="142"/>
      <c r="K536" s="20"/>
    </row>
    <row r="537" spans="1:11" s="12" customFormat="1" ht="45">
      <c r="A537" s="16">
        <v>9.8000000000000007</v>
      </c>
      <c r="B537" s="139" t="s">
        <v>433</v>
      </c>
      <c r="C537" s="139" t="s">
        <v>133</v>
      </c>
      <c r="D537" s="147" t="s">
        <v>1349</v>
      </c>
      <c r="E537" s="155" t="s">
        <v>208</v>
      </c>
      <c r="F537" s="162"/>
      <c r="G537" s="142"/>
      <c r="H537" s="142"/>
      <c r="I537" s="142"/>
      <c r="J537" s="142"/>
      <c r="K537" s="21">
        <f>SUM(K538:K545)</f>
        <v>597.6</v>
      </c>
    </row>
    <row r="538" spans="1:11" s="12" customFormat="1">
      <c r="A538" s="16"/>
      <c r="B538" s="161"/>
      <c r="C538" s="139"/>
      <c r="D538" s="150" t="s">
        <v>1457</v>
      </c>
      <c r="E538" s="139"/>
      <c r="F538" s="162" t="s">
        <v>141</v>
      </c>
      <c r="G538" s="142">
        <v>65.44</v>
      </c>
      <c r="H538" s="142">
        <v>1.2</v>
      </c>
      <c r="I538" s="142"/>
      <c r="J538" s="142"/>
      <c r="K538" s="20">
        <f t="shared" ref="K538:K544" si="31">G538*H538</f>
        <v>78.527999999999992</v>
      </c>
    </row>
    <row r="539" spans="1:11" s="12" customFormat="1">
      <c r="A539" s="16"/>
      <c r="B539" s="161"/>
      <c r="C539" s="139"/>
      <c r="D539" s="150" t="s">
        <v>1458</v>
      </c>
      <c r="E539" s="139"/>
      <c r="F539" s="162" t="s">
        <v>141</v>
      </c>
      <c r="G539" s="142">
        <v>55.89</v>
      </c>
      <c r="H539" s="142">
        <v>1.2</v>
      </c>
      <c r="I539" s="142"/>
      <c r="J539" s="142"/>
      <c r="K539" s="20">
        <f t="shared" si="31"/>
        <v>67.067999999999998</v>
      </c>
    </row>
    <row r="540" spans="1:11" s="12" customFormat="1">
      <c r="A540" s="16"/>
      <c r="B540" s="161"/>
      <c r="C540" s="139"/>
      <c r="D540" s="150" t="s">
        <v>1461</v>
      </c>
      <c r="E540" s="139"/>
      <c r="F540" s="162" t="s">
        <v>141</v>
      </c>
      <c r="G540" s="142">
        <v>92.6</v>
      </c>
      <c r="H540" s="142">
        <v>1.2</v>
      </c>
      <c r="I540" s="142"/>
      <c r="J540" s="142"/>
      <c r="K540" s="20">
        <f t="shared" si="31"/>
        <v>111.11999999999999</v>
      </c>
    </row>
    <row r="541" spans="1:11" s="12" customFormat="1">
      <c r="A541" s="16"/>
      <c r="B541" s="161"/>
      <c r="C541" s="139"/>
      <c r="D541" s="150" t="s">
        <v>1460</v>
      </c>
      <c r="E541" s="139"/>
      <c r="F541" s="162" t="s">
        <v>141</v>
      </c>
      <c r="G541" s="142">
        <v>47.42</v>
      </c>
      <c r="H541" s="142">
        <v>1.2</v>
      </c>
      <c r="I541" s="142"/>
      <c r="J541" s="142"/>
      <c r="K541" s="20">
        <f t="shared" si="31"/>
        <v>56.904000000000003</v>
      </c>
    </row>
    <row r="542" spans="1:11" s="12" customFormat="1">
      <c r="A542" s="16"/>
      <c r="B542" s="161"/>
      <c r="C542" s="139"/>
      <c r="D542" s="150" t="s">
        <v>1462</v>
      </c>
      <c r="E542" s="139"/>
      <c r="F542" s="162" t="s">
        <v>141</v>
      </c>
      <c r="G542" s="142">
        <v>48.8</v>
      </c>
      <c r="H542" s="142">
        <v>1.2</v>
      </c>
      <c r="I542" s="142"/>
      <c r="J542" s="142"/>
      <c r="K542" s="20">
        <f t="shared" si="31"/>
        <v>58.559999999999995</v>
      </c>
    </row>
    <row r="543" spans="1:11" s="12" customFormat="1">
      <c r="A543" s="16"/>
      <c r="B543" s="161"/>
      <c r="C543" s="139"/>
      <c r="D543" s="150" t="s">
        <v>1463</v>
      </c>
      <c r="E543" s="139"/>
      <c r="F543" s="162" t="s">
        <v>141</v>
      </c>
      <c r="G543" s="142">
        <v>54.06</v>
      </c>
      <c r="H543" s="142">
        <v>1.2</v>
      </c>
      <c r="I543" s="142"/>
      <c r="J543" s="142"/>
      <c r="K543" s="20">
        <f t="shared" si="31"/>
        <v>64.872</v>
      </c>
    </row>
    <row r="544" spans="1:11" s="12" customFormat="1">
      <c r="A544" s="16"/>
      <c r="B544" s="161"/>
      <c r="C544" s="139"/>
      <c r="D544" s="150" t="s">
        <v>1464</v>
      </c>
      <c r="E544" s="139"/>
      <c r="F544" s="162" t="s">
        <v>141</v>
      </c>
      <c r="G544" s="142">
        <v>77.459999999999994</v>
      </c>
      <c r="H544" s="142">
        <v>1.2</v>
      </c>
      <c r="I544" s="142"/>
      <c r="J544" s="142"/>
      <c r="K544" s="20">
        <f t="shared" si="31"/>
        <v>92.951999999999984</v>
      </c>
    </row>
    <row r="545" spans="1:12" s="12" customFormat="1">
      <c r="A545" s="16"/>
      <c r="B545" s="161"/>
      <c r="C545" s="139"/>
      <c r="D545" s="150" t="s">
        <v>1465</v>
      </c>
      <c r="E545" s="139"/>
      <c r="F545" s="162" t="s">
        <v>141</v>
      </c>
      <c r="G545" s="142">
        <v>56.33</v>
      </c>
      <c r="H545" s="142">
        <v>1.2</v>
      </c>
      <c r="I545" s="142"/>
      <c r="J545" s="142"/>
      <c r="K545" s="20">
        <f t="shared" ref="K545" si="32">G545*H545</f>
        <v>67.595999999999989</v>
      </c>
    </row>
    <row r="546" spans="1:12" s="12" customFormat="1">
      <c r="A546" s="16"/>
      <c r="B546" s="161"/>
      <c r="C546" s="139"/>
      <c r="D546" s="150"/>
      <c r="E546" s="139"/>
      <c r="F546" s="162"/>
      <c r="G546" s="142"/>
      <c r="H546" s="142"/>
      <c r="I546" s="142"/>
      <c r="J546" s="142"/>
      <c r="K546" s="20"/>
    </row>
    <row r="547" spans="1:12" s="12" customFormat="1" ht="45">
      <c r="A547" s="16">
        <v>9.9</v>
      </c>
      <c r="B547" s="139" t="s">
        <v>476</v>
      </c>
      <c r="C547" s="139" t="s">
        <v>133</v>
      </c>
      <c r="D547" s="150" t="s">
        <v>484</v>
      </c>
      <c r="E547" s="155" t="s">
        <v>208</v>
      </c>
      <c r="F547" s="162"/>
      <c r="G547" s="142"/>
      <c r="H547" s="142"/>
      <c r="I547" s="142"/>
      <c r="J547" s="142"/>
      <c r="K547" s="21">
        <f>SUM(K548:K555)</f>
        <v>597.6</v>
      </c>
    </row>
    <row r="548" spans="1:12" s="12" customFormat="1">
      <c r="A548" s="16"/>
      <c r="B548" s="161"/>
      <c r="C548" s="139"/>
      <c r="D548" s="150" t="s">
        <v>1457</v>
      </c>
      <c r="E548" s="139"/>
      <c r="F548" s="162" t="s">
        <v>141</v>
      </c>
      <c r="G548" s="142">
        <v>65.44</v>
      </c>
      <c r="H548" s="142">
        <v>1.2</v>
      </c>
      <c r="I548" s="142"/>
      <c r="J548" s="142"/>
      <c r="K548" s="20">
        <f t="shared" ref="K548:K555" si="33">G548*H548</f>
        <v>78.527999999999992</v>
      </c>
    </row>
    <row r="549" spans="1:12" s="12" customFormat="1">
      <c r="A549" s="16"/>
      <c r="B549" s="161"/>
      <c r="C549" s="139"/>
      <c r="D549" s="150" t="s">
        <v>1458</v>
      </c>
      <c r="E549" s="139"/>
      <c r="F549" s="162" t="s">
        <v>141</v>
      </c>
      <c r="G549" s="142">
        <v>55.89</v>
      </c>
      <c r="H549" s="142">
        <v>1.2</v>
      </c>
      <c r="I549" s="142"/>
      <c r="J549" s="142"/>
      <c r="K549" s="20">
        <f t="shared" si="33"/>
        <v>67.067999999999998</v>
      </c>
    </row>
    <row r="550" spans="1:12" s="12" customFormat="1">
      <c r="A550" s="16"/>
      <c r="B550" s="161"/>
      <c r="C550" s="139"/>
      <c r="D550" s="150" t="s">
        <v>1461</v>
      </c>
      <c r="E550" s="139"/>
      <c r="F550" s="162" t="s">
        <v>141</v>
      </c>
      <c r="G550" s="142">
        <v>92.6</v>
      </c>
      <c r="H550" s="142">
        <v>1.2</v>
      </c>
      <c r="I550" s="142"/>
      <c r="J550" s="142"/>
      <c r="K550" s="20">
        <f t="shared" si="33"/>
        <v>111.11999999999999</v>
      </c>
    </row>
    <row r="551" spans="1:12" s="12" customFormat="1">
      <c r="A551" s="16"/>
      <c r="B551" s="161"/>
      <c r="C551" s="139"/>
      <c r="D551" s="150" t="s">
        <v>1460</v>
      </c>
      <c r="E551" s="139"/>
      <c r="F551" s="162" t="s">
        <v>141</v>
      </c>
      <c r="G551" s="142">
        <v>47.42</v>
      </c>
      <c r="H551" s="142">
        <v>1.2</v>
      </c>
      <c r="I551" s="142"/>
      <c r="J551" s="142"/>
      <c r="K551" s="20">
        <f t="shared" si="33"/>
        <v>56.904000000000003</v>
      </c>
    </row>
    <row r="552" spans="1:12" s="12" customFormat="1">
      <c r="A552" s="16"/>
      <c r="B552" s="161"/>
      <c r="C552" s="139"/>
      <c r="D552" s="150" t="s">
        <v>1462</v>
      </c>
      <c r="E552" s="139"/>
      <c r="F552" s="162" t="s">
        <v>141</v>
      </c>
      <c r="G552" s="142">
        <v>48.8</v>
      </c>
      <c r="H552" s="142">
        <v>1.2</v>
      </c>
      <c r="I552" s="142"/>
      <c r="J552" s="142"/>
      <c r="K552" s="20">
        <f t="shared" si="33"/>
        <v>58.559999999999995</v>
      </c>
    </row>
    <row r="553" spans="1:12" s="12" customFormat="1">
      <c r="A553" s="16"/>
      <c r="B553" s="161"/>
      <c r="C553" s="139"/>
      <c r="D553" s="150" t="s">
        <v>1463</v>
      </c>
      <c r="E553" s="139"/>
      <c r="F553" s="162" t="s">
        <v>141</v>
      </c>
      <c r="G553" s="142">
        <v>54.06</v>
      </c>
      <c r="H553" s="142">
        <v>1.2</v>
      </c>
      <c r="I553" s="142"/>
      <c r="J553" s="142"/>
      <c r="K553" s="20">
        <f t="shared" si="33"/>
        <v>64.872</v>
      </c>
    </row>
    <row r="554" spans="1:12" s="12" customFormat="1">
      <c r="A554" s="16"/>
      <c r="B554" s="161"/>
      <c r="C554" s="139"/>
      <c r="D554" s="150" t="s">
        <v>1464</v>
      </c>
      <c r="E554" s="139"/>
      <c r="F554" s="162" t="s">
        <v>141</v>
      </c>
      <c r="G554" s="142">
        <v>77.459999999999994</v>
      </c>
      <c r="H554" s="142">
        <v>1.2</v>
      </c>
      <c r="I554" s="142"/>
      <c r="J554" s="142"/>
      <c r="K554" s="20">
        <f t="shared" si="33"/>
        <v>92.951999999999984</v>
      </c>
    </row>
    <row r="555" spans="1:12" s="12" customFormat="1">
      <c r="A555" s="16"/>
      <c r="B555" s="161"/>
      <c r="C555" s="139"/>
      <c r="D555" s="150" t="s">
        <v>1465</v>
      </c>
      <c r="E555" s="139"/>
      <c r="F555" s="162" t="s">
        <v>141</v>
      </c>
      <c r="G555" s="142">
        <v>56.33</v>
      </c>
      <c r="H555" s="142">
        <v>1.2</v>
      </c>
      <c r="I555" s="142"/>
      <c r="J555" s="142"/>
      <c r="K555" s="20">
        <f t="shared" si="33"/>
        <v>67.595999999999989</v>
      </c>
    </row>
    <row r="556" spans="1:12" s="12" customFormat="1">
      <c r="A556" s="16"/>
      <c r="B556" s="139"/>
      <c r="C556" s="139"/>
      <c r="D556" s="147"/>
      <c r="E556" s="153"/>
      <c r="F556" s="162"/>
      <c r="G556" s="142"/>
      <c r="H556" s="142"/>
      <c r="I556" s="142"/>
      <c r="J556" s="142"/>
      <c r="K556" s="20"/>
    </row>
    <row r="557" spans="1:12" s="12" customFormat="1">
      <c r="A557" s="119" t="s">
        <v>54</v>
      </c>
      <c r="B557" s="176"/>
      <c r="C557" s="176"/>
      <c r="D557" s="177" t="s">
        <v>55</v>
      </c>
      <c r="E557" s="178"/>
      <c r="F557" s="175"/>
      <c r="G557" s="175"/>
      <c r="H557" s="175"/>
      <c r="I557" s="175"/>
      <c r="J557" s="175"/>
      <c r="K557" s="120"/>
      <c r="L557" s="7"/>
    </row>
    <row r="558" spans="1:12" s="12" customFormat="1">
      <c r="A558" s="119"/>
      <c r="B558" s="176"/>
      <c r="C558" s="176"/>
      <c r="D558" s="177" t="s">
        <v>146</v>
      </c>
      <c r="E558" s="178"/>
      <c r="F558" s="175"/>
      <c r="G558" s="175"/>
      <c r="H558" s="175"/>
      <c r="I558" s="175"/>
      <c r="J558" s="175"/>
      <c r="K558" s="120"/>
      <c r="L558" s="7"/>
    </row>
    <row r="559" spans="1:12" s="12" customFormat="1" ht="33.75">
      <c r="A559" s="17" t="s">
        <v>56</v>
      </c>
      <c r="B559" s="149">
        <v>87622</v>
      </c>
      <c r="C559" s="139" t="s">
        <v>9</v>
      </c>
      <c r="D559" s="150" t="s">
        <v>1350</v>
      </c>
      <c r="E559" s="155" t="s">
        <v>208</v>
      </c>
      <c r="F559" s="156"/>
      <c r="G559" s="156"/>
      <c r="H559" s="156"/>
      <c r="I559" s="156"/>
      <c r="J559" s="156"/>
      <c r="K559" s="27">
        <f>SUM(K560:K622)</f>
        <v>2952.512892799999</v>
      </c>
      <c r="L559" s="7"/>
    </row>
    <row r="560" spans="1:12" s="12" customFormat="1">
      <c r="A560" s="16"/>
      <c r="B560" s="139"/>
      <c r="C560" s="139"/>
      <c r="D560" s="150" t="s">
        <v>361</v>
      </c>
      <c r="E560" s="163"/>
      <c r="F560" s="156">
        <f>2.8*4.25</f>
        <v>11.899999999999999</v>
      </c>
      <c r="G560" s="156">
        <f>0.75*1.32</f>
        <v>0.99</v>
      </c>
      <c r="H560" s="156"/>
      <c r="I560" s="156"/>
      <c r="J560" s="156"/>
      <c r="K560" s="20">
        <f t="shared" ref="K560:K586" si="34">F560*G560</f>
        <v>11.780999999999999</v>
      </c>
    </row>
    <row r="561" spans="1:11" s="12" customFormat="1">
      <c r="A561" s="16"/>
      <c r="B561" s="139"/>
      <c r="C561" s="139"/>
      <c r="D561" s="150" t="s">
        <v>144</v>
      </c>
      <c r="E561" s="163"/>
      <c r="F561" s="156">
        <v>4.2</v>
      </c>
      <c r="G561" s="156">
        <v>4.5999999999999996</v>
      </c>
      <c r="H561" s="156"/>
      <c r="I561" s="156"/>
      <c r="J561" s="156"/>
      <c r="K561" s="20">
        <f t="shared" si="34"/>
        <v>19.32</v>
      </c>
    </row>
    <row r="562" spans="1:11" s="12" customFormat="1">
      <c r="A562" s="16"/>
      <c r="B562" s="139"/>
      <c r="C562" s="139"/>
      <c r="D562" s="150" t="s">
        <v>143</v>
      </c>
      <c r="E562" s="163"/>
      <c r="F562" s="156">
        <v>3.2</v>
      </c>
      <c r="G562" s="156">
        <v>5</v>
      </c>
      <c r="H562" s="156"/>
      <c r="I562" s="156"/>
      <c r="J562" s="156"/>
      <c r="K562" s="20">
        <f t="shared" si="34"/>
        <v>16</v>
      </c>
    </row>
    <row r="563" spans="1:11" s="12" customFormat="1">
      <c r="A563" s="16"/>
      <c r="B563" s="139"/>
      <c r="C563" s="139"/>
      <c r="D563" s="150" t="s">
        <v>362</v>
      </c>
      <c r="E563" s="163"/>
      <c r="F563" s="156">
        <f>4.14*5.09</f>
        <v>21.072599999999998</v>
      </c>
      <c r="G563" s="156">
        <f>1.65*1.68</f>
        <v>2.7719999999999998</v>
      </c>
      <c r="H563" s="156"/>
      <c r="I563" s="156"/>
      <c r="J563" s="156"/>
      <c r="K563" s="20">
        <f t="shared" si="34"/>
        <v>58.413247199999986</v>
      </c>
    </row>
    <row r="564" spans="1:11" s="12" customFormat="1">
      <c r="A564" s="16"/>
      <c r="B564" s="139"/>
      <c r="C564" s="139"/>
      <c r="D564" s="150" t="s">
        <v>366</v>
      </c>
      <c r="E564" s="163"/>
      <c r="F564" s="156">
        <v>3.52</v>
      </c>
      <c r="G564" s="156">
        <v>3.81</v>
      </c>
      <c r="H564" s="156"/>
      <c r="I564" s="156"/>
      <c r="J564" s="156"/>
      <c r="K564" s="20">
        <f t="shared" si="34"/>
        <v>13.411200000000001</v>
      </c>
    </row>
    <row r="565" spans="1:11" s="12" customFormat="1">
      <c r="A565" s="16"/>
      <c r="B565" s="139"/>
      <c r="C565" s="139"/>
      <c r="D565" s="150" t="s">
        <v>363</v>
      </c>
      <c r="E565" s="163"/>
      <c r="F565" s="156">
        <f>4.13*5.28</f>
        <v>21.8064</v>
      </c>
      <c r="G565" s="156">
        <f>1.65*1.68</f>
        <v>2.7719999999999998</v>
      </c>
      <c r="H565" s="156"/>
      <c r="I565" s="156"/>
      <c r="J565" s="156"/>
      <c r="K565" s="20">
        <f t="shared" si="34"/>
        <v>60.447340799999992</v>
      </c>
    </row>
    <row r="566" spans="1:11" s="12" customFormat="1">
      <c r="A566" s="16"/>
      <c r="B566" s="139"/>
      <c r="C566" s="139"/>
      <c r="D566" s="150" t="s">
        <v>367</v>
      </c>
      <c r="E566" s="163"/>
      <c r="F566" s="156">
        <v>3.53</v>
      </c>
      <c r="G566" s="156">
        <v>4</v>
      </c>
      <c r="H566" s="156"/>
      <c r="I566" s="156"/>
      <c r="J566" s="156"/>
      <c r="K566" s="20">
        <f t="shared" si="34"/>
        <v>14.12</v>
      </c>
    </row>
    <row r="567" spans="1:11" s="12" customFormat="1">
      <c r="A567" s="16"/>
      <c r="B567" s="139"/>
      <c r="C567" s="139"/>
      <c r="D567" s="150" t="s">
        <v>368</v>
      </c>
      <c r="E567" s="163"/>
      <c r="F567" s="156">
        <v>2.88</v>
      </c>
      <c r="G567" s="156">
        <v>3.04</v>
      </c>
      <c r="H567" s="156"/>
      <c r="I567" s="156"/>
      <c r="J567" s="156"/>
      <c r="K567" s="20">
        <f t="shared" si="34"/>
        <v>8.7552000000000003</v>
      </c>
    </row>
    <row r="568" spans="1:11" s="12" customFormat="1">
      <c r="A568" s="16"/>
      <c r="B568" s="139"/>
      <c r="C568" s="139"/>
      <c r="D568" s="150" t="s">
        <v>369</v>
      </c>
      <c r="E568" s="163"/>
      <c r="F568" s="156">
        <v>2.78</v>
      </c>
      <c r="G568" s="156">
        <v>2.88</v>
      </c>
      <c r="H568" s="156"/>
      <c r="I568" s="156"/>
      <c r="J568" s="156"/>
      <c r="K568" s="20">
        <f t="shared" si="34"/>
        <v>8.0063999999999993</v>
      </c>
    </row>
    <row r="569" spans="1:11" s="12" customFormat="1">
      <c r="A569" s="16"/>
      <c r="B569" s="139"/>
      <c r="C569" s="139"/>
      <c r="D569" s="150" t="s">
        <v>370</v>
      </c>
      <c r="E569" s="163"/>
      <c r="F569" s="156">
        <v>2.88</v>
      </c>
      <c r="G569" s="156">
        <v>3.04</v>
      </c>
      <c r="H569" s="156"/>
      <c r="I569" s="156"/>
      <c r="J569" s="156"/>
      <c r="K569" s="20">
        <f t="shared" si="34"/>
        <v>8.7552000000000003</v>
      </c>
    </row>
    <row r="570" spans="1:11" s="12" customFormat="1">
      <c r="A570" s="16"/>
      <c r="B570" s="139"/>
      <c r="C570" s="139"/>
      <c r="D570" s="150" t="s">
        <v>371</v>
      </c>
      <c r="E570" s="163"/>
      <c r="F570" s="156">
        <v>2.78</v>
      </c>
      <c r="G570" s="156">
        <v>2.88</v>
      </c>
      <c r="H570" s="156"/>
      <c r="I570" s="156"/>
      <c r="J570" s="156"/>
      <c r="K570" s="20">
        <f t="shared" si="34"/>
        <v>8.0063999999999993</v>
      </c>
    </row>
    <row r="571" spans="1:11" s="12" customFormat="1">
      <c r="A571" s="16"/>
      <c r="B571" s="139"/>
      <c r="C571" s="139"/>
      <c r="D571" s="150" t="s">
        <v>364</v>
      </c>
      <c r="E571" s="163"/>
      <c r="F571" s="156">
        <f>4.13*5.28</f>
        <v>21.8064</v>
      </c>
      <c r="G571" s="156">
        <f>1.65*1.68</f>
        <v>2.7719999999999998</v>
      </c>
      <c r="H571" s="156"/>
      <c r="I571" s="156"/>
      <c r="J571" s="156"/>
      <c r="K571" s="20">
        <f t="shared" si="34"/>
        <v>60.447340799999992</v>
      </c>
    </row>
    <row r="572" spans="1:11" s="12" customFormat="1">
      <c r="A572" s="16"/>
      <c r="B572" s="139"/>
      <c r="C572" s="139"/>
      <c r="D572" s="150" t="s">
        <v>372</v>
      </c>
      <c r="E572" s="163"/>
      <c r="F572" s="156">
        <v>3.53</v>
      </c>
      <c r="G572" s="156">
        <v>4</v>
      </c>
      <c r="H572" s="156"/>
      <c r="I572" s="156"/>
      <c r="J572" s="156"/>
      <c r="K572" s="20">
        <f t="shared" si="34"/>
        <v>14.12</v>
      </c>
    </row>
    <row r="573" spans="1:11" s="12" customFormat="1">
      <c r="A573" s="16"/>
      <c r="B573" s="139"/>
      <c r="C573" s="139"/>
      <c r="D573" s="150" t="s">
        <v>365</v>
      </c>
      <c r="E573" s="163"/>
      <c r="F573" s="156">
        <f>4.13*5.28</f>
        <v>21.8064</v>
      </c>
      <c r="G573" s="156">
        <f>1.65*1.68</f>
        <v>2.7719999999999998</v>
      </c>
      <c r="H573" s="156"/>
      <c r="I573" s="156"/>
      <c r="J573" s="156"/>
      <c r="K573" s="20">
        <f t="shared" si="34"/>
        <v>60.447340799999992</v>
      </c>
    </row>
    <row r="574" spans="1:11" s="12" customFormat="1">
      <c r="A574" s="16"/>
      <c r="B574" s="139"/>
      <c r="C574" s="139"/>
      <c r="D574" s="150" t="s">
        <v>373</v>
      </c>
      <c r="E574" s="163"/>
      <c r="F574" s="156">
        <v>3.53</v>
      </c>
      <c r="G574" s="156">
        <v>4</v>
      </c>
      <c r="H574" s="156"/>
      <c r="I574" s="156"/>
      <c r="J574" s="156"/>
      <c r="K574" s="20">
        <f t="shared" si="34"/>
        <v>14.12</v>
      </c>
    </row>
    <row r="575" spans="1:11" s="12" customFormat="1">
      <c r="A575" s="16"/>
      <c r="B575" s="139"/>
      <c r="C575" s="139"/>
      <c r="D575" s="150" t="s">
        <v>390</v>
      </c>
      <c r="E575" s="163"/>
      <c r="F575" s="156">
        <v>2.88</v>
      </c>
      <c r="G575" s="156">
        <v>3.04</v>
      </c>
      <c r="H575" s="156"/>
      <c r="I575" s="156"/>
      <c r="J575" s="156"/>
      <c r="K575" s="20">
        <f t="shared" si="34"/>
        <v>8.7552000000000003</v>
      </c>
    </row>
    <row r="576" spans="1:11" s="12" customFormat="1">
      <c r="A576" s="16"/>
      <c r="B576" s="139"/>
      <c r="C576" s="139"/>
      <c r="D576" s="150" t="s">
        <v>393</v>
      </c>
      <c r="E576" s="163"/>
      <c r="F576" s="156">
        <v>2.78</v>
      </c>
      <c r="G576" s="156">
        <v>2.88</v>
      </c>
      <c r="H576" s="156"/>
      <c r="I576" s="156"/>
      <c r="J576" s="156"/>
      <c r="K576" s="20">
        <f t="shared" si="34"/>
        <v>8.0063999999999993</v>
      </c>
    </row>
    <row r="577" spans="1:11" s="12" customFormat="1">
      <c r="A577" s="16"/>
      <c r="B577" s="139"/>
      <c r="C577" s="139"/>
      <c r="D577" s="150" t="s">
        <v>391</v>
      </c>
      <c r="E577" s="163"/>
      <c r="F577" s="156">
        <v>2.88</v>
      </c>
      <c r="G577" s="156">
        <v>3.04</v>
      </c>
      <c r="H577" s="156"/>
      <c r="I577" s="156"/>
      <c r="J577" s="156"/>
      <c r="K577" s="20">
        <f t="shared" si="34"/>
        <v>8.7552000000000003</v>
      </c>
    </row>
    <row r="578" spans="1:11" s="12" customFormat="1">
      <c r="A578" s="16"/>
      <c r="B578" s="139"/>
      <c r="C578" s="139"/>
      <c r="D578" s="150" t="s">
        <v>392</v>
      </c>
      <c r="E578" s="163"/>
      <c r="F578" s="156">
        <v>2.78</v>
      </c>
      <c r="G578" s="156">
        <v>2.88</v>
      </c>
      <c r="H578" s="156"/>
      <c r="I578" s="156"/>
      <c r="J578" s="156"/>
      <c r="K578" s="20">
        <f t="shared" si="34"/>
        <v>8.0063999999999993</v>
      </c>
    </row>
    <row r="579" spans="1:11" s="12" customFormat="1">
      <c r="A579" s="16"/>
      <c r="B579" s="139"/>
      <c r="C579" s="139"/>
      <c r="D579" s="150" t="s">
        <v>1314</v>
      </c>
      <c r="E579" s="163"/>
      <c r="F579" s="156">
        <f>4.13*5.28</f>
        <v>21.8064</v>
      </c>
      <c r="G579" s="156">
        <f>1.65*1.68</f>
        <v>2.7719999999999998</v>
      </c>
      <c r="H579" s="156"/>
      <c r="I579" s="156"/>
      <c r="J579" s="156"/>
      <c r="K579" s="20">
        <f t="shared" si="34"/>
        <v>60.447340799999992</v>
      </c>
    </row>
    <row r="580" spans="1:11" s="12" customFormat="1">
      <c r="A580" s="16"/>
      <c r="B580" s="139"/>
      <c r="C580" s="139"/>
      <c r="D580" s="150" t="s">
        <v>1315</v>
      </c>
      <c r="E580" s="163"/>
      <c r="F580" s="156">
        <v>3.53</v>
      </c>
      <c r="G580" s="156">
        <v>4</v>
      </c>
      <c r="H580" s="156"/>
      <c r="I580" s="156"/>
      <c r="J580" s="156"/>
      <c r="K580" s="20">
        <f t="shared" si="34"/>
        <v>14.12</v>
      </c>
    </row>
    <row r="581" spans="1:11" s="12" customFormat="1">
      <c r="A581" s="16"/>
      <c r="B581" s="139"/>
      <c r="C581" s="139"/>
      <c r="D581" s="150" t="s">
        <v>1317</v>
      </c>
      <c r="E581" s="163"/>
      <c r="F581" s="156">
        <f>4.13*5.28</f>
        <v>21.8064</v>
      </c>
      <c r="G581" s="156">
        <f>1.65*1.68</f>
        <v>2.7719999999999998</v>
      </c>
      <c r="H581" s="156"/>
      <c r="I581" s="156"/>
      <c r="J581" s="156"/>
      <c r="K581" s="20">
        <f t="shared" si="34"/>
        <v>60.447340799999992</v>
      </c>
    </row>
    <row r="582" spans="1:11" s="12" customFormat="1">
      <c r="A582" s="16"/>
      <c r="B582" s="139"/>
      <c r="C582" s="139"/>
      <c r="D582" s="150" t="s">
        <v>1318</v>
      </c>
      <c r="E582" s="163"/>
      <c r="F582" s="156">
        <v>3.53</v>
      </c>
      <c r="G582" s="156">
        <v>4</v>
      </c>
      <c r="H582" s="156"/>
      <c r="I582" s="156"/>
      <c r="J582" s="156"/>
      <c r="K582" s="20">
        <f t="shared" si="34"/>
        <v>14.12</v>
      </c>
    </row>
    <row r="583" spans="1:11" s="12" customFormat="1">
      <c r="A583" s="16"/>
      <c r="B583" s="139"/>
      <c r="C583" s="139"/>
      <c r="D583" s="150" t="s">
        <v>1316</v>
      </c>
      <c r="E583" s="163"/>
      <c r="F583" s="156">
        <v>2.88</v>
      </c>
      <c r="G583" s="156">
        <v>3.04</v>
      </c>
      <c r="H583" s="156"/>
      <c r="I583" s="156"/>
      <c r="J583" s="156"/>
      <c r="K583" s="20">
        <f t="shared" si="34"/>
        <v>8.7552000000000003</v>
      </c>
    </row>
    <row r="584" spans="1:11" s="12" customFormat="1">
      <c r="A584" s="16"/>
      <c r="B584" s="139"/>
      <c r="C584" s="139"/>
      <c r="D584" s="150" t="s">
        <v>1319</v>
      </c>
      <c r="E584" s="163"/>
      <c r="F584" s="156">
        <v>2.78</v>
      </c>
      <c r="G584" s="156">
        <v>2.88</v>
      </c>
      <c r="H584" s="156"/>
      <c r="I584" s="156"/>
      <c r="J584" s="156"/>
      <c r="K584" s="20">
        <f t="shared" si="34"/>
        <v>8.0063999999999993</v>
      </c>
    </row>
    <row r="585" spans="1:11" s="12" customFormat="1">
      <c r="A585" s="16"/>
      <c r="B585" s="139"/>
      <c r="C585" s="139"/>
      <c r="D585" s="150" t="s">
        <v>1320</v>
      </c>
      <c r="E585" s="163"/>
      <c r="F585" s="156">
        <v>2.88</v>
      </c>
      <c r="G585" s="156">
        <v>3.04</v>
      </c>
      <c r="H585" s="156"/>
      <c r="I585" s="156"/>
      <c r="J585" s="156"/>
      <c r="K585" s="20">
        <f t="shared" si="34"/>
        <v>8.7552000000000003</v>
      </c>
    </row>
    <row r="586" spans="1:11" s="12" customFormat="1">
      <c r="A586" s="16"/>
      <c r="B586" s="139"/>
      <c r="C586" s="139"/>
      <c r="D586" s="150" t="s">
        <v>1321</v>
      </c>
      <c r="E586" s="163"/>
      <c r="F586" s="156">
        <v>2.78</v>
      </c>
      <c r="G586" s="156">
        <v>2.88</v>
      </c>
      <c r="H586" s="156"/>
      <c r="I586" s="156"/>
      <c r="J586" s="156"/>
      <c r="K586" s="20">
        <f t="shared" si="34"/>
        <v>8.0063999999999993</v>
      </c>
    </row>
    <row r="587" spans="1:11" s="12" customFormat="1">
      <c r="A587" s="16"/>
      <c r="B587" s="139"/>
      <c r="C587" s="139"/>
      <c r="D587" s="150" t="s">
        <v>1322</v>
      </c>
      <c r="E587" s="163"/>
      <c r="F587" s="156">
        <f>4.13*5.28</f>
        <v>21.8064</v>
      </c>
      <c r="G587" s="156">
        <f>1.65*1.68</f>
        <v>2.7719999999999998</v>
      </c>
      <c r="H587" s="156"/>
      <c r="I587" s="156"/>
      <c r="J587" s="156"/>
      <c r="K587" s="26">
        <v>41.34</v>
      </c>
    </row>
    <row r="588" spans="1:11" s="12" customFormat="1">
      <c r="A588" s="16"/>
      <c r="B588" s="139"/>
      <c r="C588" s="139"/>
      <c r="D588" s="150" t="s">
        <v>1323</v>
      </c>
      <c r="E588" s="163"/>
      <c r="F588" s="156">
        <v>3.53</v>
      </c>
      <c r="G588" s="156">
        <v>4</v>
      </c>
      <c r="H588" s="142"/>
      <c r="I588" s="142"/>
      <c r="J588" s="156"/>
      <c r="K588" s="26">
        <v>28.84</v>
      </c>
    </row>
    <row r="589" spans="1:11" s="12" customFormat="1">
      <c r="A589" s="16"/>
      <c r="B589" s="139"/>
      <c r="C589" s="139"/>
      <c r="D589" s="150" t="s">
        <v>1324</v>
      </c>
      <c r="E589" s="163"/>
      <c r="F589" s="156">
        <f>4.13*5.28</f>
        <v>21.8064</v>
      </c>
      <c r="G589" s="156">
        <f>1.65*1.68</f>
        <v>2.7719999999999998</v>
      </c>
      <c r="H589" s="142"/>
      <c r="I589" s="142"/>
      <c r="J589" s="156"/>
      <c r="K589" s="26">
        <f t="shared" ref="K589:K591" si="35">F589*G589</f>
        <v>60.447340799999992</v>
      </c>
    </row>
    <row r="590" spans="1:11" s="12" customFormat="1">
      <c r="A590" s="16"/>
      <c r="B590" s="139"/>
      <c r="C590" s="139"/>
      <c r="D590" s="150" t="s">
        <v>1325</v>
      </c>
      <c r="E590" s="163"/>
      <c r="F590" s="156">
        <v>3.53</v>
      </c>
      <c r="G590" s="156">
        <v>4</v>
      </c>
      <c r="H590" s="142"/>
      <c r="I590" s="142"/>
      <c r="J590" s="156"/>
      <c r="K590" s="26">
        <f t="shared" si="35"/>
        <v>14.12</v>
      </c>
    </row>
    <row r="591" spans="1:11" s="12" customFormat="1">
      <c r="A591" s="16"/>
      <c r="B591" s="139"/>
      <c r="C591" s="139"/>
      <c r="D591" s="150" t="s">
        <v>1326</v>
      </c>
      <c r="E591" s="163"/>
      <c r="F591" s="156">
        <v>2.88</v>
      </c>
      <c r="G591" s="156">
        <v>3.04</v>
      </c>
      <c r="H591" s="142"/>
      <c r="I591" s="142"/>
      <c r="J591" s="156"/>
      <c r="K591" s="26">
        <f t="shared" si="35"/>
        <v>8.7552000000000003</v>
      </c>
    </row>
    <row r="592" spans="1:11" s="12" customFormat="1">
      <c r="A592" s="16"/>
      <c r="B592" s="139"/>
      <c r="C592" s="139"/>
      <c r="D592" s="150" t="s">
        <v>1327</v>
      </c>
      <c r="E592" s="163"/>
      <c r="F592" s="156">
        <v>2.78</v>
      </c>
      <c r="G592" s="156">
        <v>2.88</v>
      </c>
      <c r="H592" s="142"/>
      <c r="I592" s="142"/>
      <c r="J592" s="156"/>
      <c r="K592" s="26">
        <v>138.44999999999999</v>
      </c>
    </row>
    <row r="593" spans="1:11" s="12" customFormat="1">
      <c r="A593" s="16"/>
      <c r="B593" s="139"/>
      <c r="C593" s="139"/>
      <c r="D593" s="150" t="s">
        <v>1328</v>
      </c>
      <c r="E593" s="163"/>
      <c r="F593" s="156">
        <v>2.88</v>
      </c>
      <c r="G593" s="156">
        <v>3.04</v>
      </c>
      <c r="H593" s="142"/>
      <c r="I593" s="142"/>
      <c r="J593" s="156"/>
      <c r="K593" s="26">
        <f t="shared" ref="K593:K598" si="36">F593*G593</f>
        <v>8.7552000000000003</v>
      </c>
    </row>
    <row r="594" spans="1:11" s="12" customFormat="1">
      <c r="A594" s="16"/>
      <c r="B594" s="139"/>
      <c r="C594" s="139"/>
      <c r="D594" s="150" t="s">
        <v>1329</v>
      </c>
      <c r="E594" s="163"/>
      <c r="F594" s="156">
        <v>2.78</v>
      </c>
      <c r="G594" s="156">
        <v>2.88</v>
      </c>
      <c r="H594" s="142"/>
      <c r="I594" s="142"/>
      <c r="J594" s="156"/>
      <c r="K594" s="26">
        <f t="shared" si="36"/>
        <v>8.0063999999999993</v>
      </c>
    </row>
    <row r="595" spans="1:11" s="12" customFormat="1">
      <c r="A595" s="16"/>
      <c r="B595" s="139"/>
      <c r="C595" s="139"/>
      <c r="D595" s="150" t="s">
        <v>374</v>
      </c>
      <c r="E595" s="163"/>
      <c r="F595" s="156">
        <f>7*4.45</f>
        <v>31.150000000000002</v>
      </c>
      <c r="G595" s="156">
        <f>1.2*5.4</f>
        <v>6.48</v>
      </c>
      <c r="H595" s="142"/>
      <c r="I595" s="142"/>
      <c r="J595" s="156"/>
      <c r="K595" s="26">
        <f t="shared" si="36"/>
        <v>201.85200000000003</v>
      </c>
    </row>
    <row r="596" spans="1:11" s="12" customFormat="1">
      <c r="A596" s="16"/>
      <c r="B596" s="139"/>
      <c r="C596" s="139"/>
      <c r="D596" s="150" t="s">
        <v>375</v>
      </c>
      <c r="E596" s="163"/>
      <c r="F596" s="156">
        <f t="shared" ref="F596:F597" si="37">7*4.45</f>
        <v>31.150000000000002</v>
      </c>
      <c r="G596" s="156">
        <f t="shared" ref="G596:G598" si="38">1.2*5.4</f>
        <v>6.48</v>
      </c>
      <c r="H596" s="142"/>
      <c r="I596" s="142"/>
      <c r="J596" s="156"/>
      <c r="K596" s="26">
        <f t="shared" si="36"/>
        <v>201.85200000000003</v>
      </c>
    </row>
    <row r="597" spans="1:11" s="12" customFormat="1">
      <c r="A597" s="16"/>
      <c r="B597" s="139"/>
      <c r="C597" s="139"/>
      <c r="D597" s="150" t="s">
        <v>376</v>
      </c>
      <c r="E597" s="163"/>
      <c r="F597" s="156">
        <f t="shared" si="37"/>
        <v>31.150000000000002</v>
      </c>
      <c r="G597" s="156">
        <f t="shared" si="38"/>
        <v>6.48</v>
      </c>
      <c r="H597" s="142"/>
      <c r="I597" s="142"/>
      <c r="J597" s="156"/>
      <c r="K597" s="26">
        <f t="shared" si="36"/>
        <v>201.85200000000003</v>
      </c>
    </row>
    <row r="598" spans="1:11" s="12" customFormat="1">
      <c r="A598" s="16"/>
      <c r="B598" s="139"/>
      <c r="C598" s="139"/>
      <c r="D598" s="150" t="s">
        <v>377</v>
      </c>
      <c r="E598" s="163"/>
      <c r="F598" s="156">
        <f>7*4.45</f>
        <v>31.150000000000002</v>
      </c>
      <c r="G598" s="156">
        <f t="shared" si="38"/>
        <v>6.48</v>
      </c>
      <c r="H598" s="142"/>
      <c r="I598" s="142"/>
      <c r="J598" s="156"/>
      <c r="K598" s="26">
        <f t="shared" si="36"/>
        <v>201.85200000000003</v>
      </c>
    </row>
    <row r="599" spans="1:11" s="12" customFormat="1">
      <c r="A599" s="16"/>
      <c r="B599" s="139"/>
      <c r="C599" s="139"/>
      <c r="D599" s="150" t="s">
        <v>342</v>
      </c>
      <c r="E599" s="163"/>
      <c r="F599" s="156">
        <f>5.92*7.83</f>
        <v>46.3536</v>
      </c>
      <c r="G599" s="7">
        <f>1.8*6.55</f>
        <v>11.79</v>
      </c>
      <c r="H599" s="142"/>
      <c r="I599" s="142"/>
      <c r="J599" s="156"/>
      <c r="K599" s="26">
        <v>34.56</v>
      </c>
    </row>
    <row r="600" spans="1:11" s="12" customFormat="1">
      <c r="A600" s="16"/>
      <c r="B600" s="139"/>
      <c r="C600" s="139"/>
      <c r="D600" s="376" t="s">
        <v>1239</v>
      </c>
      <c r="E600" s="163"/>
      <c r="F600" s="156">
        <f>6.55*7.72</f>
        <v>50.565999999999995</v>
      </c>
      <c r="G600" s="156">
        <f>1.28*5.96</f>
        <v>7.6288</v>
      </c>
      <c r="H600" s="142"/>
      <c r="I600" s="142"/>
      <c r="J600" s="156"/>
      <c r="K600" s="26">
        <f t="shared" ref="K600:K603" si="39">F600*G600</f>
        <v>385.75790079999996</v>
      </c>
    </row>
    <row r="601" spans="1:11" s="12" customFormat="1">
      <c r="A601" s="16"/>
      <c r="B601" s="139"/>
      <c r="C601" s="139"/>
      <c r="D601" s="150" t="s">
        <v>378</v>
      </c>
      <c r="E601" s="163"/>
      <c r="F601" s="156">
        <v>3.97</v>
      </c>
      <c r="G601" s="156">
        <v>9.7100000000000009</v>
      </c>
      <c r="H601" s="142"/>
      <c r="I601" s="142"/>
      <c r="J601" s="156"/>
      <c r="K601" s="26">
        <f t="shared" si="39"/>
        <v>38.548700000000004</v>
      </c>
    </row>
    <row r="602" spans="1:11" s="12" customFormat="1">
      <c r="A602" s="16"/>
      <c r="B602" s="139"/>
      <c r="C602" s="139"/>
      <c r="D602" s="150" t="s">
        <v>1330</v>
      </c>
      <c r="E602" s="163"/>
      <c r="F602" s="156">
        <v>2.1</v>
      </c>
      <c r="G602" s="156">
        <v>2.2000000000000002</v>
      </c>
      <c r="H602" s="142"/>
      <c r="I602" s="142"/>
      <c r="J602" s="156"/>
      <c r="K602" s="26">
        <f t="shared" si="39"/>
        <v>4.620000000000001</v>
      </c>
    </row>
    <row r="603" spans="1:11" s="12" customFormat="1">
      <c r="A603" s="16"/>
      <c r="B603" s="139"/>
      <c r="C603" s="139"/>
      <c r="D603" s="150" t="s">
        <v>1331</v>
      </c>
      <c r="E603" s="163"/>
      <c r="F603" s="156">
        <v>1.3</v>
      </c>
      <c r="G603" s="156">
        <v>2.2000000000000002</v>
      </c>
      <c r="H603" s="142"/>
      <c r="I603" s="142"/>
      <c r="J603" s="156"/>
      <c r="K603" s="26">
        <f t="shared" si="39"/>
        <v>2.8600000000000003</v>
      </c>
    </row>
    <row r="604" spans="1:11" s="12" customFormat="1">
      <c r="A604" s="16"/>
      <c r="B604" s="139"/>
      <c r="C604" s="139"/>
      <c r="D604" s="150" t="s">
        <v>379</v>
      </c>
      <c r="E604" s="163"/>
      <c r="F604" s="156"/>
      <c r="G604" s="156"/>
      <c r="H604" s="142"/>
      <c r="I604" s="142"/>
      <c r="J604" s="156"/>
      <c r="K604" s="26">
        <v>275.22000000000003</v>
      </c>
    </row>
    <row r="605" spans="1:11" s="12" customFormat="1">
      <c r="A605" s="16"/>
      <c r="B605" s="139"/>
      <c r="C605" s="139"/>
      <c r="D605" s="150" t="s">
        <v>380</v>
      </c>
      <c r="E605" s="163"/>
      <c r="F605" s="156">
        <v>3</v>
      </c>
      <c r="G605" s="156">
        <v>5.64</v>
      </c>
      <c r="H605" s="142"/>
      <c r="I605" s="142"/>
      <c r="J605" s="156"/>
      <c r="K605" s="26">
        <f t="shared" ref="K605:K608" si="40">F605*G605</f>
        <v>16.919999999999998</v>
      </c>
    </row>
    <row r="606" spans="1:11" s="12" customFormat="1">
      <c r="A606" s="16"/>
      <c r="B606" s="139"/>
      <c r="C606" s="139"/>
      <c r="D606" s="150" t="s">
        <v>381</v>
      </c>
      <c r="E606" s="163"/>
      <c r="F606" s="156">
        <v>3</v>
      </c>
      <c r="G606" s="156">
        <v>5.64</v>
      </c>
      <c r="H606" s="142"/>
      <c r="I606" s="142"/>
      <c r="J606" s="156"/>
      <c r="K606" s="26">
        <f t="shared" si="40"/>
        <v>16.919999999999998</v>
      </c>
    </row>
    <row r="607" spans="1:11" s="12" customFormat="1">
      <c r="A607" s="16"/>
      <c r="B607" s="139"/>
      <c r="C607" s="139"/>
      <c r="D607" s="150" t="s">
        <v>382</v>
      </c>
      <c r="E607" s="163"/>
      <c r="F607" s="156">
        <v>3</v>
      </c>
      <c r="G607" s="156">
        <v>5.64</v>
      </c>
      <c r="H607" s="142"/>
      <c r="I607" s="142"/>
      <c r="J607" s="156"/>
      <c r="K607" s="26">
        <f t="shared" si="40"/>
        <v>16.919999999999998</v>
      </c>
    </row>
    <row r="608" spans="1:11" s="12" customFormat="1">
      <c r="A608" s="16"/>
      <c r="B608" s="139"/>
      <c r="C608" s="139"/>
      <c r="D608" s="150" t="s">
        <v>383</v>
      </c>
      <c r="E608" s="163"/>
      <c r="F608" s="156">
        <v>3</v>
      </c>
      <c r="G608" s="156">
        <v>5.64</v>
      </c>
      <c r="H608" s="142"/>
      <c r="I608" s="142"/>
      <c r="J608" s="156"/>
      <c r="K608" s="26">
        <f t="shared" si="40"/>
        <v>16.919999999999998</v>
      </c>
    </row>
    <row r="609" spans="1:11" s="12" customFormat="1">
      <c r="A609" s="16"/>
      <c r="B609" s="139"/>
      <c r="C609" s="139"/>
      <c r="D609" s="150" t="s">
        <v>139</v>
      </c>
      <c r="E609" s="163"/>
      <c r="F609" s="156"/>
      <c r="G609" s="156"/>
      <c r="H609" s="142"/>
      <c r="I609" s="142"/>
      <c r="J609" s="156"/>
      <c r="K609" s="26">
        <v>34.56</v>
      </c>
    </row>
    <row r="610" spans="1:11" s="12" customFormat="1">
      <c r="A610" s="16"/>
      <c r="B610" s="139"/>
      <c r="C610" s="139"/>
      <c r="D610" s="150" t="s">
        <v>384</v>
      </c>
      <c r="E610" s="163"/>
      <c r="F610" s="156">
        <v>1.47</v>
      </c>
      <c r="G610" s="156">
        <v>4.72</v>
      </c>
      <c r="H610" s="142"/>
      <c r="I610" s="142"/>
      <c r="J610" s="156"/>
      <c r="K610" s="26">
        <f t="shared" ref="K610:K616" si="41">F610*G610</f>
        <v>6.9383999999999997</v>
      </c>
    </row>
    <row r="611" spans="1:11" s="12" customFormat="1">
      <c r="A611" s="16"/>
      <c r="B611" s="139"/>
      <c r="C611" s="139"/>
      <c r="D611" s="150" t="s">
        <v>385</v>
      </c>
      <c r="E611" s="163"/>
      <c r="F611" s="156">
        <v>1.94</v>
      </c>
      <c r="G611" s="156">
        <v>4.38</v>
      </c>
      <c r="H611" s="142"/>
      <c r="I611" s="142"/>
      <c r="J611" s="156"/>
      <c r="K611" s="26">
        <f t="shared" si="41"/>
        <v>8.4971999999999994</v>
      </c>
    </row>
    <row r="612" spans="1:11" s="12" customFormat="1">
      <c r="A612" s="16"/>
      <c r="B612" s="139"/>
      <c r="C612" s="139"/>
      <c r="D612" s="150" t="s">
        <v>386</v>
      </c>
      <c r="E612" s="163"/>
      <c r="F612" s="156">
        <v>2.7</v>
      </c>
      <c r="G612" s="156">
        <v>2.8</v>
      </c>
      <c r="H612" s="142"/>
      <c r="I612" s="142"/>
      <c r="J612" s="156"/>
      <c r="K612" s="26">
        <f t="shared" si="41"/>
        <v>7.56</v>
      </c>
    </row>
    <row r="613" spans="1:11" s="12" customFormat="1">
      <c r="A613" s="16"/>
      <c r="B613" s="139"/>
      <c r="C613" s="139"/>
      <c r="D613" s="150" t="s">
        <v>1333</v>
      </c>
      <c r="E613" s="163"/>
      <c r="F613" s="156">
        <v>1.24</v>
      </c>
      <c r="G613" s="156">
        <v>4.42</v>
      </c>
      <c r="H613" s="142"/>
      <c r="I613" s="142"/>
      <c r="J613" s="156"/>
      <c r="K613" s="26">
        <f t="shared" si="41"/>
        <v>5.4807999999999995</v>
      </c>
    </row>
    <row r="614" spans="1:11" s="12" customFormat="1">
      <c r="A614" s="16"/>
      <c r="B614" s="139"/>
      <c r="C614" s="139"/>
      <c r="D614" s="150" t="s">
        <v>387</v>
      </c>
      <c r="E614" s="163"/>
      <c r="F614" s="156">
        <v>2.6</v>
      </c>
      <c r="G614" s="156">
        <v>2.7</v>
      </c>
      <c r="H614" s="142"/>
      <c r="I614" s="142"/>
      <c r="J614" s="156"/>
      <c r="K614" s="26">
        <f t="shared" si="41"/>
        <v>7.0200000000000005</v>
      </c>
    </row>
    <row r="615" spans="1:11" s="12" customFormat="1">
      <c r="A615" s="16"/>
      <c r="B615" s="139"/>
      <c r="C615" s="139"/>
      <c r="D615" s="150" t="s">
        <v>388</v>
      </c>
      <c r="E615" s="163"/>
      <c r="F615" s="156">
        <v>1.5</v>
      </c>
      <c r="G615" s="156">
        <v>2.7</v>
      </c>
      <c r="H615" s="142"/>
      <c r="I615" s="142"/>
      <c r="J615" s="156"/>
      <c r="K615" s="26">
        <f t="shared" si="41"/>
        <v>4.0500000000000007</v>
      </c>
    </row>
    <row r="616" spans="1:11" s="12" customFormat="1">
      <c r="A616" s="16"/>
      <c r="B616" s="139"/>
      <c r="C616" s="139"/>
      <c r="D616" s="150" t="s">
        <v>1332</v>
      </c>
      <c r="E616" s="163"/>
      <c r="F616" s="156">
        <v>2.6</v>
      </c>
      <c r="G616" s="156">
        <v>3.26</v>
      </c>
      <c r="H616" s="142"/>
      <c r="I616" s="142"/>
      <c r="J616" s="156"/>
      <c r="K616" s="26">
        <f t="shared" si="41"/>
        <v>8.4759999999999991</v>
      </c>
    </row>
    <row r="617" spans="1:11" s="12" customFormat="1">
      <c r="A617" s="16"/>
      <c r="B617" s="139"/>
      <c r="C617" s="139"/>
      <c r="D617" s="150" t="s">
        <v>389</v>
      </c>
      <c r="E617" s="163"/>
      <c r="F617" s="156"/>
      <c r="G617" s="156"/>
      <c r="H617" s="142"/>
      <c r="I617" s="142"/>
      <c r="J617" s="156"/>
      <c r="K617" s="26">
        <v>9.36</v>
      </c>
    </row>
    <row r="618" spans="1:11" s="12" customFormat="1">
      <c r="A618" s="16"/>
      <c r="B618" s="139"/>
      <c r="C618" s="139"/>
      <c r="D618" s="150" t="s">
        <v>1354</v>
      </c>
      <c r="E618" s="163"/>
      <c r="F618" s="156"/>
      <c r="G618" s="156"/>
      <c r="H618" s="142"/>
      <c r="I618" s="142"/>
      <c r="J618" s="156"/>
      <c r="K618" s="26">
        <v>53.16</v>
      </c>
    </row>
    <row r="619" spans="1:11" s="12" customFormat="1">
      <c r="A619" s="16"/>
      <c r="B619" s="139"/>
      <c r="C619" s="139"/>
      <c r="D619" s="150" t="s">
        <v>1355</v>
      </c>
      <c r="E619" s="163"/>
      <c r="F619" s="156"/>
      <c r="G619" s="156"/>
      <c r="H619" s="142"/>
      <c r="I619" s="142"/>
      <c r="J619" s="156"/>
      <c r="K619" s="26">
        <v>108.96</v>
      </c>
    </row>
    <row r="620" spans="1:11" s="12" customFormat="1">
      <c r="A620" s="16"/>
      <c r="B620" s="139"/>
      <c r="C620" s="139"/>
      <c r="D620" s="150" t="s">
        <v>1356</v>
      </c>
      <c r="E620" s="163"/>
      <c r="F620" s="156"/>
      <c r="G620" s="156"/>
      <c r="H620" s="142"/>
      <c r="I620" s="142"/>
      <c r="J620" s="156"/>
      <c r="K620" s="26">
        <v>116.7</v>
      </c>
    </row>
    <row r="621" spans="1:11" s="12" customFormat="1">
      <c r="A621" s="16"/>
      <c r="B621" s="139"/>
      <c r="C621" s="139"/>
      <c r="D621" s="150" t="s">
        <v>1357</v>
      </c>
      <c r="E621" s="163"/>
      <c r="F621" s="156"/>
      <c r="G621" s="156"/>
      <c r="H621" s="142"/>
      <c r="I621" s="142"/>
      <c r="J621" s="156"/>
      <c r="K621" s="26">
        <v>33.35</v>
      </c>
    </row>
    <row r="622" spans="1:11" s="12" customFormat="1">
      <c r="A622" s="16"/>
      <c r="B622" s="139"/>
      <c r="C622" s="139"/>
      <c r="D622" s="150" t="s">
        <v>1358</v>
      </c>
      <c r="E622" s="163"/>
      <c r="F622" s="156"/>
      <c r="G622" s="156"/>
      <c r="H622" s="142"/>
      <c r="I622" s="142"/>
      <c r="J622" s="156"/>
      <c r="K622" s="26">
        <v>30.7</v>
      </c>
    </row>
    <row r="623" spans="1:11" s="12" customFormat="1">
      <c r="A623" s="16"/>
      <c r="B623" s="139"/>
      <c r="C623" s="139"/>
      <c r="D623" s="147"/>
      <c r="E623" s="139"/>
      <c r="F623" s="162"/>
      <c r="G623" s="142"/>
      <c r="H623" s="142"/>
      <c r="I623" s="142"/>
      <c r="J623" s="142"/>
      <c r="K623" s="20"/>
    </row>
    <row r="624" spans="1:11" s="12" customFormat="1" ht="33.75">
      <c r="A624" s="16" t="s">
        <v>57</v>
      </c>
      <c r="B624" s="139">
        <v>87250</v>
      </c>
      <c r="C624" s="139" t="s">
        <v>9</v>
      </c>
      <c r="D624" s="147" t="s">
        <v>1351</v>
      </c>
      <c r="E624" s="155" t="s">
        <v>208</v>
      </c>
      <c r="F624" s="162"/>
      <c r="G624" s="142"/>
      <c r="H624" s="142"/>
      <c r="I624" s="142"/>
      <c r="J624" s="142"/>
      <c r="K624" s="21">
        <f>SUM(K625:K686)</f>
        <v>2835.8128927999992</v>
      </c>
    </row>
    <row r="625" spans="1:11" s="12" customFormat="1">
      <c r="A625" s="16"/>
      <c r="B625" s="139"/>
      <c r="C625" s="139"/>
      <c r="D625" s="150" t="s">
        <v>361</v>
      </c>
      <c r="E625" s="163"/>
      <c r="F625" s="156">
        <f>2.8*4.25</f>
        <v>11.899999999999999</v>
      </c>
      <c r="G625" s="156">
        <f>0.75*1.32</f>
        <v>0.99</v>
      </c>
      <c r="H625" s="156"/>
      <c r="I625" s="156"/>
      <c r="J625" s="156"/>
      <c r="K625" s="20">
        <f t="shared" ref="K625:K651" si="42">F625*G625</f>
        <v>11.780999999999999</v>
      </c>
    </row>
    <row r="626" spans="1:11" s="12" customFormat="1">
      <c r="A626" s="16"/>
      <c r="B626" s="139"/>
      <c r="C626" s="139"/>
      <c r="D626" s="150" t="s">
        <v>144</v>
      </c>
      <c r="E626" s="163"/>
      <c r="F626" s="156">
        <v>4.2</v>
      </c>
      <c r="G626" s="156">
        <v>4.5999999999999996</v>
      </c>
      <c r="H626" s="156"/>
      <c r="I626" s="156"/>
      <c r="J626" s="156"/>
      <c r="K626" s="20">
        <f t="shared" si="42"/>
        <v>19.32</v>
      </c>
    </row>
    <row r="627" spans="1:11" s="12" customFormat="1">
      <c r="A627" s="16"/>
      <c r="B627" s="139"/>
      <c r="C627" s="139"/>
      <c r="D627" s="150" t="s">
        <v>143</v>
      </c>
      <c r="E627" s="163"/>
      <c r="F627" s="156">
        <v>3.2</v>
      </c>
      <c r="G627" s="156">
        <v>5</v>
      </c>
      <c r="H627" s="156"/>
      <c r="I627" s="156"/>
      <c r="J627" s="156"/>
      <c r="K627" s="20">
        <f t="shared" si="42"/>
        <v>16</v>
      </c>
    </row>
    <row r="628" spans="1:11" s="12" customFormat="1">
      <c r="A628" s="16"/>
      <c r="B628" s="139"/>
      <c r="C628" s="139"/>
      <c r="D628" s="150" t="s">
        <v>362</v>
      </c>
      <c r="E628" s="163"/>
      <c r="F628" s="156">
        <f>4.14*5.09</f>
        <v>21.072599999999998</v>
      </c>
      <c r="G628" s="156">
        <f>1.65*1.68</f>
        <v>2.7719999999999998</v>
      </c>
      <c r="H628" s="156"/>
      <c r="I628" s="156"/>
      <c r="J628" s="156"/>
      <c r="K628" s="20">
        <f t="shared" si="42"/>
        <v>58.413247199999986</v>
      </c>
    </row>
    <row r="629" spans="1:11" s="12" customFormat="1">
      <c r="A629" s="16"/>
      <c r="B629" s="139"/>
      <c r="C629" s="139"/>
      <c r="D629" s="150" t="s">
        <v>366</v>
      </c>
      <c r="E629" s="163"/>
      <c r="F629" s="156">
        <v>3.52</v>
      </c>
      <c r="G629" s="156">
        <v>3.81</v>
      </c>
      <c r="H629" s="156"/>
      <c r="I629" s="156"/>
      <c r="J629" s="156"/>
      <c r="K629" s="20">
        <f t="shared" si="42"/>
        <v>13.411200000000001</v>
      </c>
    </row>
    <row r="630" spans="1:11" s="12" customFormat="1">
      <c r="A630" s="16"/>
      <c r="B630" s="139"/>
      <c r="C630" s="139"/>
      <c r="D630" s="150" t="s">
        <v>363</v>
      </c>
      <c r="E630" s="163"/>
      <c r="F630" s="156">
        <f>4.13*5.28</f>
        <v>21.8064</v>
      </c>
      <c r="G630" s="156">
        <f>1.65*1.68</f>
        <v>2.7719999999999998</v>
      </c>
      <c r="H630" s="156"/>
      <c r="I630" s="156"/>
      <c r="J630" s="156"/>
      <c r="K630" s="20">
        <f t="shared" si="42"/>
        <v>60.447340799999992</v>
      </c>
    </row>
    <row r="631" spans="1:11" s="12" customFormat="1">
      <c r="A631" s="16"/>
      <c r="B631" s="139"/>
      <c r="C631" s="139"/>
      <c r="D631" s="150" t="s">
        <v>367</v>
      </c>
      <c r="E631" s="163"/>
      <c r="F631" s="156">
        <v>3.53</v>
      </c>
      <c r="G631" s="156">
        <v>4</v>
      </c>
      <c r="H631" s="156"/>
      <c r="I631" s="156"/>
      <c r="J631" s="156"/>
      <c r="K631" s="20">
        <f t="shared" si="42"/>
        <v>14.12</v>
      </c>
    </row>
    <row r="632" spans="1:11" s="12" customFormat="1">
      <c r="A632" s="16"/>
      <c r="B632" s="139"/>
      <c r="C632" s="139"/>
      <c r="D632" s="150" t="s">
        <v>368</v>
      </c>
      <c r="E632" s="163"/>
      <c r="F632" s="156">
        <v>2.88</v>
      </c>
      <c r="G632" s="156">
        <v>3.04</v>
      </c>
      <c r="H632" s="156"/>
      <c r="I632" s="156"/>
      <c r="J632" s="156"/>
      <c r="K632" s="20">
        <f t="shared" si="42"/>
        <v>8.7552000000000003</v>
      </c>
    </row>
    <row r="633" spans="1:11" s="12" customFormat="1">
      <c r="A633" s="16"/>
      <c r="B633" s="139"/>
      <c r="C633" s="139"/>
      <c r="D633" s="150" t="s">
        <v>369</v>
      </c>
      <c r="E633" s="163"/>
      <c r="F633" s="156">
        <v>2.78</v>
      </c>
      <c r="G633" s="156">
        <v>2.88</v>
      </c>
      <c r="H633" s="156"/>
      <c r="I633" s="156"/>
      <c r="J633" s="156"/>
      <c r="K633" s="20">
        <f t="shared" si="42"/>
        <v>8.0063999999999993</v>
      </c>
    </row>
    <row r="634" spans="1:11" s="12" customFormat="1">
      <c r="A634" s="16"/>
      <c r="B634" s="139"/>
      <c r="C634" s="139"/>
      <c r="D634" s="150" t="s">
        <v>370</v>
      </c>
      <c r="E634" s="163"/>
      <c r="F634" s="156">
        <v>2.88</v>
      </c>
      <c r="G634" s="156">
        <v>3.04</v>
      </c>
      <c r="H634" s="156"/>
      <c r="I634" s="156"/>
      <c r="J634" s="156"/>
      <c r="K634" s="20">
        <f t="shared" si="42"/>
        <v>8.7552000000000003</v>
      </c>
    </row>
    <row r="635" spans="1:11" s="12" customFormat="1">
      <c r="A635" s="16"/>
      <c r="B635" s="139"/>
      <c r="C635" s="139"/>
      <c r="D635" s="150" t="s">
        <v>371</v>
      </c>
      <c r="E635" s="163"/>
      <c r="F635" s="156">
        <v>2.78</v>
      </c>
      <c r="G635" s="156">
        <v>2.88</v>
      </c>
      <c r="H635" s="156"/>
      <c r="I635" s="156"/>
      <c r="J635" s="156"/>
      <c r="K635" s="20">
        <f t="shared" si="42"/>
        <v>8.0063999999999993</v>
      </c>
    </row>
    <row r="636" spans="1:11" s="12" customFormat="1">
      <c r="A636" s="16"/>
      <c r="B636" s="139"/>
      <c r="C636" s="139"/>
      <c r="D636" s="150" t="s">
        <v>364</v>
      </c>
      <c r="E636" s="163"/>
      <c r="F636" s="156">
        <f>4.13*5.28</f>
        <v>21.8064</v>
      </c>
      <c r="G636" s="156">
        <f>1.65*1.68</f>
        <v>2.7719999999999998</v>
      </c>
      <c r="H636" s="156"/>
      <c r="I636" s="156"/>
      <c r="J636" s="156"/>
      <c r="K636" s="20">
        <f t="shared" si="42"/>
        <v>60.447340799999992</v>
      </c>
    </row>
    <row r="637" spans="1:11" s="12" customFormat="1">
      <c r="A637" s="16"/>
      <c r="B637" s="139"/>
      <c r="C637" s="139"/>
      <c r="D637" s="150" t="s">
        <v>372</v>
      </c>
      <c r="E637" s="163"/>
      <c r="F637" s="156">
        <v>3.53</v>
      </c>
      <c r="G637" s="156">
        <v>4</v>
      </c>
      <c r="H637" s="156"/>
      <c r="I637" s="156"/>
      <c r="J637" s="156"/>
      <c r="K637" s="20">
        <f t="shared" si="42"/>
        <v>14.12</v>
      </c>
    </row>
    <row r="638" spans="1:11" s="12" customFormat="1">
      <c r="A638" s="16"/>
      <c r="B638" s="139"/>
      <c r="C638" s="139"/>
      <c r="D638" s="150" t="s">
        <v>365</v>
      </c>
      <c r="E638" s="163"/>
      <c r="F638" s="156">
        <f>4.13*5.28</f>
        <v>21.8064</v>
      </c>
      <c r="G638" s="156">
        <f>1.65*1.68</f>
        <v>2.7719999999999998</v>
      </c>
      <c r="H638" s="156"/>
      <c r="I638" s="156"/>
      <c r="J638" s="156"/>
      <c r="K638" s="20">
        <f t="shared" si="42"/>
        <v>60.447340799999992</v>
      </c>
    </row>
    <row r="639" spans="1:11" s="12" customFormat="1">
      <c r="A639" s="16"/>
      <c r="B639" s="139"/>
      <c r="C639" s="139"/>
      <c r="D639" s="150" t="s">
        <v>373</v>
      </c>
      <c r="E639" s="163"/>
      <c r="F639" s="156">
        <v>3.53</v>
      </c>
      <c r="G639" s="156">
        <v>4</v>
      </c>
      <c r="H639" s="156"/>
      <c r="I639" s="156"/>
      <c r="J639" s="156"/>
      <c r="K639" s="20">
        <f t="shared" si="42"/>
        <v>14.12</v>
      </c>
    </row>
    <row r="640" spans="1:11" s="12" customFormat="1">
      <c r="A640" s="16"/>
      <c r="B640" s="139"/>
      <c r="C640" s="139"/>
      <c r="D640" s="150" t="s">
        <v>390</v>
      </c>
      <c r="E640" s="163"/>
      <c r="F640" s="156">
        <v>2.88</v>
      </c>
      <c r="G640" s="156">
        <v>3.04</v>
      </c>
      <c r="H640" s="156"/>
      <c r="I640" s="156"/>
      <c r="J640" s="156"/>
      <c r="K640" s="20">
        <f t="shared" si="42"/>
        <v>8.7552000000000003</v>
      </c>
    </row>
    <row r="641" spans="1:11" s="12" customFormat="1">
      <c r="A641" s="16"/>
      <c r="B641" s="139"/>
      <c r="C641" s="139"/>
      <c r="D641" s="150" t="s">
        <v>393</v>
      </c>
      <c r="E641" s="163"/>
      <c r="F641" s="156">
        <v>2.78</v>
      </c>
      <c r="G641" s="156">
        <v>2.88</v>
      </c>
      <c r="H641" s="156"/>
      <c r="I641" s="156"/>
      <c r="J641" s="156"/>
      <c r="K641" s="20">
        <f t="shared" si="42"/>
        <v>8.0063999999999993</v>
      </c>
    </row>
    <row r="642" spans="1:11" s="12" customFormat="1">
      <c r="A642" s="16"/>
      <c r="B642" s="139"/>
      <c r="C642" s="139"/>
      <c r="D642" s="150" t="s">
        <v>391</v>
      </c>
      <c r="E642" s="163"/>
      <c r="F642" s="156">
        <v>2.88</v>
      </c>
      <c r="G642" s="156">
        <v>3.04</v>
      </c>
      <c r="H642" s="156"/>
      <c r="I642" s="156"/>
      <c r="J642" s="156"/>
      <c r="K642" s="20">
        <f t="shared" si="42"/>
        <v>8.7552000000000003</v>
      </c>
    </row>
    <row r="643" spans="1:11" s="12" customFormat="1">
      <c r="A643" s="16"/>
      <c r="B643" s="139"/>
      <c r="C643" s="139"/>
      <c r="D643" s="150" t="s">
        <v>392</v>
      </c>
      <c r="E643" s="163"/>
      <c r="F643" s="156">
        <v>2.78</v>
      </c>
      <c r="G643" s="156">
        <v>2.88</v>
      </c>
      <c r="H643" s="156"/>
      <c r="I643" s="156"/>
      <c r="J643" s="156"/>
      <c r="K643" s="20">
        <f t="shared" si="42"/>
        <v>8.0063999999999993</v>
      </c>
    </row>
    <row r="644" spans="1:11" s="12" customFormat="1">
      <c r="A644" s="16"/>
      <c r="B644" s="139"/>
      <c r="C644" s="139"/>
      <c r="D644" s="150" t="s">
        <v>1314</v>
      </c>
      <c r="E644" s="163"/>
      <c r="F644" s="156">
        <f>4.13*5.28</f>
        <v>21.8064</v>
      </c>
      <c r="G644" s="156">
        <f>1.65*1.68</f>
        <v>2.7719999999999998</v>
      </c>
      <c r="H644" s="156"/>
      <c r="I644" s="156"/>
      <c r="J644" s="156"/>
      <c r="K644" s="20">
        <f t="shared" si="42"/>
        <v>60.447340799999992</v>
      </c>
    </row>
    <row r="645" spans="1:11" s="12" customFormat="1">
      <c r="A645" s="16"/>
      <c r="B645" s="139"/>
      <c r="C645" s="139"/>
      <c r="D645" s="150" t="s">
        <v>1315</v>
      </c>
      <c r="E645" s="163"/>
      <c r="F645" s="156">
        <v>3.53</v>
      </c>
      <c r="G645" s="156">
        <v>4</v>
      </c>
      <c r="H645" s="156"/>
      <c r="I645" s="156"/>
      <c r="J645" s="156"/>
      <c r="K645" s="20">
        <f t="shared" si="42"/>
        <v>14.12</v>
      </c>
    </row>
    <row r="646" spans="1:11" s="12" customFormat="1">
      <c r="A646" s="16"/>
      <c r="B646" s="139"/>
      <c r="C646" s="139"/>
      <c r="D646" s="150" t="s">
        <v>1317</v>
      </c>
      <c r="E646" s="163"/>
      <c r="F646" s="156">
        <f>4.13*5.28</f>
        <v>21.8064</v>
      </c>
      <c r="G646" s="156">
        <f>1.65*1.68</f>
        <v>2.7719999999999998</v>
      </c>
      <c r="H646" s="156"/>
      <c r="I646" s="156"/>
      <c r="J646" s="156"/>
      <c r="K646" s="20">
        <f t="shared" si="42"/>
        <v>60.447340799999992</v>
      </c>
    </row>
    <row r="647" spans="1:11" s="12" customFormat="1">
      <c r="A647" s="16"/>
      <c r="B647" s="139"/>
      <c r="C647" s="139"/>
      <c r="D647" s="150" t="s">
        <v>1318</v>
      </c>
      <c r="E647" s="163"/>
      <c r="F647" s="156">
        <v>3.53</v>
      </c>
      <c r="G647" s="156">
        <v>4</v>
      </c>
      <c r="H647" s="156"/>
      <c r="I647" s="156"/>
      <c r="J647" s="156"/>
      <c r="K647" s="20">
        <f t="shared" si="42"/>
        <v>14.12</v>
      </c>
    </row>
    <row r="648" spans="1:11" s="12" customFormat="1">
      <c r="A648" s="16"/>
      <c r="B648" s="139"/>
      <c r="C648" s="139"/>
      <c r="D648" s="150" t="s">
        <v>1316</v>
      </c>
      <c r="E648" s="163"/>
      <c r="F648" s="156">
        <v>2.88</v>
      </c>
      <c r="G648" s="156">
        <v>3.04</v>
      </c>
      <c r="H648" s="156"/>
      <c r="I648" s="156"/>
      <c r="J648" s="156"/>
      <c r="K648" s="20">
        <f t="shared" si="42"/>
        <v>8.7552000000000003</v>
      </c>
    </row>
    <row r="649" spans="1:11" s="12" customFormat="1">
      <c r="A649" s="16"/>
      <c r="B649" s="139"/>
      <c r="C649" s="139"/>
      <c r="D649" s="150" t="s">
        <v>1319</v>
      </c>
      <c r="E649" s="163"/>
      <c r="F649" s="156">
        <v>2.78</v>
      </c>
      <c r="G649" s="156">
        <v>2.88</v>
      </c>
      <c r="H649" s="156"/>
      <c r="I649" s="156"/>
      <c r="J649" s="156"/>
      <c r="K649" s="20">
        <f t="shared" si="42"/>
        <v>8.0063999999999993</v>
      </c>
    </row>
    <row r="650" spans="1:11" s="12" customFormat="1">
      <c r="A650" s="16"/>
      <c r="B650" s="139"/>
      <c r="C650" s="139"/>
      <c r="D650" s="150" t="s">
        <v>1320</v>
      </c>
      <c r="E650" s="163"/>
      <c r="F650" s="156">
        <v>2.88</v>
      </c>
      <c r="G650" s="156">
        <v>3.04</v>
      </c>
      <c r="H650" s="156"/>
      <c r="I650" s="156"/>
      <c r="J650" s="156"/>
      <c r="K650" s="20">
        <f t="shared" si="42"/>
        <v>8.7552000000000003</v>
      </c>
    </row>
    <row r="651" spans="1:11" s="12" customFormat="1">
      <c r="A651" s="16"/>
      <c r="B651" s="139"/>
      <c r="C651" s="139"/>
      <c r="D651" s="150" t="s">
        <v>1321</v>
      </c>
      <c r="E651" s="163"/>
      <c r="F651" s="156">
        <v>2.78</v>
      </c>
      <c r="G651" s="156">
        <v>2.88</v>
      </c>
      <c r="H651" s="156"/>
      <c r="I651" s="156"/>
      <c r="J651" s="156"/>
      <c r="K651" s="20">
        <f t="shared" si="42"/>
        <v>8.0063999999999993</v>
      </c>
    </row>
    <row r="652" spans="1:11" s="12" customFormat="1">
      <c r="A652" s="16"/>
      <c r="B652" s="139"/>
      <c r="C652" s="139"/>
      <c r="D652" s="150" t="s">
        <v>1322</v>
      </c>
      <c r="E652" s="163"/>
      <c r="F652" s="156">
        <f>4.13*5.28</f>
        <v>21.8064</v>
      </c>
      <c r="G652" s="156">
        <f>1.65*1.68</f>
        <v>2.7719999999999998</v>
      </c>
      <c r="H652" s="156"/>
      <c r="I652" s="156"/>
      <c r="J652" s="156"/>
      <c r="K652" s="26">
        <v>41.34</v>
      </c>
    </row>
    <row r="653" spans="1:11" s="12" customFormat="1">
      <c r="A653" s="16"/>
      <c r="B653" s="139"/>
      <c r="C653" s="139"/>
      <c r="D653" s="150" t="s">
        <v>1323</v>
      </c>
      <c r="E653" s="163"/>
      <c r="F653" s="156">
        <v>3.53</v>
      </c>
      <c r="G653" s="156">
        <v>4</v>
      </c>
      <c r="H653" s="142"/>
      <c r="I653" s="142"/>
      <c r="J653" s="156"/>
      <c r="K653" s="26">
        <v>28.84</v>
      </c>
    </row>
    <row r="654" spans="1:11" s="12" customFormat="1">
      <c r="A654" s="16"/>
      <c r="B654" s="139"/>
      <c r="C654" s="139"/>
      <c r="D654" s="150" t="s">
        <v>1324</v>
      </c>
      <c r="E654" s="163"/>
      <c r="F654" s="156">
        <f>4.13*5.28</f>
        <v>21.8064</v>
      </c>
      <c r="G654" s="156">
        <f>1.65*1.68</f>
        <v>2.7719999999999998</v>
      </c>
      <c r="H654" s="142"/>
      <c r="I654" s="142"/>
      <c r="J654" s="156"/>
      <c r="K654" s="26">
        <f t="shared" ref="K654:K656" si="43">F654*G654</f>
        <v>60.447340799999992</v>
      </c>
    </row>
    <row r="655" spans="1:11" s="12" customFormat="1">
      <c r="A655" s="16"/>
      <c r="B655" s="139"/>
      <c r="C655" s="139"/>
      <c r="D655" s="150" t="s">
        <v>1325</v>
      </c>
      <c r="E655" s="163"/>
      <c r="F655" s="156">
        <v>3.53</v>
      </c>
      <c r="G655" s="156">
        <v>4</v>
      </c>
      <c r="H655" s="142"/>
      <c r="I655" s="142"/>
      <c r="J655" s="156"/>
      <c r="K655" s="26">
        <f t="shared" si="43"/>
        <v>14.12</v>
      </c>
    </row>
    <row r="656" spans="1:11" s="12" customFormat="1">
      <c r="A656" s="16"/>
      <c r="B656" s="139"/>
      <c r="C656" s="139"/>
      <c r="D656" s="150" t="s">
        <v>1326</v>
      </c>
      <c r="E656" s="163"/>
      <c r="F656" s="156">
        <v>2.88</v>
      </c>
      <c r="G656" s="156">
        <v>3.04</v>
      </c>
      <c r="H656" s="142"/>
      <c r="I656" s="142"/>
      <c r="J656" s="156"/>
      <c r="K656" s="26">
        <f t="shared" si="43"/>
        <v>8.7552000000000003</v>
      </c>
    </row>
    <row r="657" spans="1:11" s="12" customFormat="1">
      <c r="A657" s="16"/>
      <c r="B657" s="139"/>
      <c r="C657" s="139"/>
      <c r="D657" s="150" t="s">
        <v>1327</v>
      </c>
      <c r="E657" s="163"/>
      <c r="F657" s="156">
        <v>2.78</v>
      </c>
      <c r="G657" s="156">
        <v>2.88</v>
      </c>
      <c r="H657" s="142"/>
      <c r="I657" s="142"/>
      <c r="J657" s="156"/>
      <c r="K657" s="26">
        <v>138.44999999999999</v>
      </c>
    </row>
    <row r="658" spans="1:11" s="12" customFormat="1">
      <c r="A658" s="16"/>
      <c r="B658" s="139"/>
      <c r="C658" s="139"/>
      <c r="D658" s="150" t="s">
        <v>1328</v>
      </c>
      <c r="E658" s="163"/>
      <c r="F658" s="156">
        <v>2.88</v>
      </c>
      <c r="G658" s="156">
        <v>3.04</v>
      </c>
      <c r="H658" s="142"/>
      <c r="I658" s="142"/>
      <c r="J658" s="156"/>
      <c r="K658" s="26">
        <f t="shared" ref="K658:K663" si="44">F658*G658</f>
        <v>8.7552000000000003</v>
      </c>
    </row>
    <row r="659" spans="1:11" s="12" customFormat="1">
      <c r="A659" s="16"/>
      <c r="B659" s="139"/>
      <c r="C659" s="139"/>
      <c r="D659" s="150" t="s">
        <v>1329</v>
      </c>
      <c r="E659" s="163"/>
      <c r="F659" s="156">
        <v>2.78</v>
      </c>
      <c r="G659" s="156">
        <v>2.88</v>
      </c>
      <c r="H659" s="142"/>
      <c r="I659" s="142"/>
      <c r="J659" s="156"/>
      <c r="K659" s="26">
        <f t="shared" si="44"/>
        <v>8.0063999999999993</v>
      </c>
    </row>
    <row r="660" spans="1:11" s="12" customFormat="1">
      <c r="A660" s="16"/>
      <c r="B660" s="139"/>
      <c r="C660" s="139"/>
      <c r="D660" s="150" t="s">
        <v>374</v>
      </c>
      <c r="E660" s="163"/>
      <c r="F660" s="156">
        <f>7*4.45</f>
        <v>31.150000000000002</v>
      </c>
      <c r="G660" s="156">
        <f>1.2*5.4</f>
        <v>6.48</v>
      </c>
      <c r="H660" s="142"/>
      <c r="I660" s="142"/>
      <c r="J660" s="156"/>
      <c r="K660" s="26">
        <f t="shared" si="44"/>
        <v>201.85200000000003</v>
      </c>
    </row>
    <row r="661" spans="1:11" s="12" customFormat="1">
      <c r="A661" s="16"/>
      <c r="B661" s="139"/>
      <c r="C661" s="139"/>
      <c r="D661" s="150" t="s">
        <v>375</v>
      </c>
      <c r="E661" s="163"/>
      <c r="F661" s="156">
        <f t="shared" ref="F661:F662" si="45">7*4.45</f>
        <v>31.150000000000002</v>
      </c>
      <c r="G661" s="156">
        <f t="shared" ref="G661:G663" si="46">1.2*5.4</f>
        <v>6.48</v>
      </c>
      <c r="H661" s="142"/>
      <c r="I661" s="142"/>
      <c r="J661" s="156"/>
      <c r="K661" s="26">
        <f t="shared" si="44"/>
        <v>201.85200000000003</v>
      </c>
    </row>
    <row r="662" spans="1:11" s="12" customFormat="1">
      <c r="A662" s="16"/>
      <c r="B662" s="139"/>
      <c r="C662" s="139"/>
      <c r="D662" s="150" t="s">
        <v>376</v>
      </c>
      <c r="E662" s="163"/>
      <c r="F662" s="156">
        <f t="shared" si="45"/>
        <v>31.150000000000002</v>
      </c>
      <c r="G662" s="156">
        <f t="shared" si="46"/>
        <v>6.48</v>
      </c>
      <c r="H662" s="142"/>
      <c r="I662" s="142"/>
      <c r="J662" s="156"/>
      <c r="K662" s="26">
        <f t="shared" si="44"/>
        <v>201.85200000000003</v>
      </c>
    </row>
    <row r="663" spans="1:11" s="12" customFormat="1">
      <c r="A663" s="16"/>
      <c r="B663" s="139"/>
      <c r="C663" s="139"/>
      <c r="D663" s="150" t="s">
        <v>377</v>
      </c>
      <c r="E663" s="163"/>
      <c r="F663" s="156">
        <f>7*4.45</f>
        <v>31.150000000000002</v>
      </c>
      <c r="G663" s="156">
        <f t="shared" si="46"/>
        <v>6.48</v>
      </c>
      <c r="H663" s="142"/>
      <c r="I663" s="142"/>
      <c r="J663" s="156"/>
      <c r="K663" s="26">
        <f t="shared" si="44"/>
        <v>201.85200000000003</v>
      </c>
    </row>
    <row r="664" spans="1:11" s="12" customFormat="1">
      <c r="A664" s="16"/>
      <c r="B664" s="139"/>
      <c r="C664" s="139"/>
      <c r="D664" s="150" t="s">
        <v>342</v>
      </c>
      <c r="E664" s="163"/>
      <c r="F664" s="156">
        <f>5.92*7.83</f>
        <v>46.3536</v>
      </c>
      <c r="G664" s="7">
        <f>1.8*6.55</f>
        <v>11.79</v>
      </c>
      <c r="H664" s="142"/>
      <c r="I664" s="142"/>
      <c r="J664" s="156"/>
      <c r="K664" s="26">
        <v>34.56</v>
      </c>
    </row>
    <row r="665" spans="1:11" s="12" customFormat="1">
      <c r="A665" s="16"/>
      <c r="B665" s="139"/>
      <c r="C665" s="139"/>
      <c r="D665" s="376" t="s">
        <v>1239</v>
      </c>
      <c r="E665" s="163"/>
      <c r="F665" s="156">
        <f>6.55*7.72</f>
        <v>50.565999999999995</v>
      </c>
      <c r="G665" s="156">
        <f>1.28*5.96</f>
        <v>7.6288</v>
      </c>
      <c r="H665" s="142"/>
      <c r="I665" s="142"/>
      <c r="J665" s="156"/>
      <c r="K665" s="26">
        <f t="shared" ref="K665:K668" si="47">F665*G665</f>
        <v>385.75790079999996</v>
      </c>
    </row>
    <row r="666" spans="1:11" s="12" customFormat="1">
      <c r="A666" s="16"/>
      <c r="B666" s="139"/>
      <c r="C666" s="139"/>
      <c r="D666" s="150" t="s">
        <v>378</v>
      </c>
      <c r="E666" s="163"/>
      <c r="F666" s="156">
        <v>3.97</v>
      </c>
      <c r="G666" s="156">
        <v>9.7100000000000009</v>
      </c>
      <c r="H666" s="142"/>
      <c r="I666" s="142"/>
      <c r="J666" s="156"/>
      <c r="K666" s="26">
        <f t="shared" si="47"/>
        <v>38.548700000000004</v>
      </c>
    </row>
    <row r="667" spans="1:11" s="12" customFormat="1">
      <c r="A667" s="16"/>
      <c r="B667" s="139"/>
      <c r="C667" s="139"/>
      <c r="D667" s="150" t="s">
        <v>1330</v>
      </c>
      <c r="E667" s="163"/>
      <c r="F667" s="156">
        <v>2.1</v>
      </c>
      <c r="G667" s="156">
        <v>2.2000000000000002</v>
      </c>
      <c r="H667" s="142"/>
      <c r="I667" s="142"/>
      <c r="J667" s="156"/>
      <c r="K667" s="26">
        <f t="shared" si="47"/>
        <v>4.620000000000001</v>
      </c>
    </row>
    <row r="668" spans="1:11" s="12" customFormat="1">
      <c r="A668" s="16"/>
      <c r="B668" s="139"/>
      <c r="C668" s="139"/>
      <c r="D668" s="150" t="s">
        <v>1331</v>
      </c>
      <c r="E668" s="163"/>
      <c r="F668" s="156">
        <v>1.3</v>
      </c>
      <c r="G668" s="156">
        <v>2.2000000000000002</v>
      </c>
      <c r="H668" s="142"/>
      <c r="I668" s="142"/>
      <c r="J668" s="156"/>
      <c r="K668" s="26">
        <f t="shared" si="47"/>
        <v>2.8600000000000003</v>
      </c>
    </row>
    <row r="669" spans="1:11" s="12" customFormat="1">
      <c r="A669" s="16"/>
      <c r="B669" s="139"/>
      <c r="C669" s="139"/>
      <c r="D669" s="150" t="s">
        <v>379</v>
      </c>
      <c r="E669" s="163"/>
      <c r="F669" s="156"/>
      <c r="G669" s="156"/>
      <c r="H669" s="142"/>
      <c r="I669" s="142"/>
      <c r="J669" s="156"/>
      <c r="K669" s="26">
        <v>275.22000000000003</v>
      </c>
    </row>
    <row r="670" spans="1:11" s="12" customFormat="1">
      <c r="A670" s="16"/>
      <c r="B670" s="139"/>
      <c r="C670" s="139"/>
      <c r="D670" s="150" t="s">
        <v>380</v>
      </c>
      <c r="E670" s="163"/>
      <c r="F670" s="156">
        <v>3</v>
      </c>
      <c r="G670" s="156">
        <v>5.64</v>
      </c>
      <c r="H670" s="142"/>
      <c r="I670" s="142"/>
      <c r="J670" s="156"/>
      <c r="K670" s="26">
        <f t="shared" ref="K670:K673" si="48">F670*G670</f>
        <v>16.919999999999998</v>
      </c>
    </row>
    <row r="671" spans="1:11" s="12" customFormat="1">
      <c r="A671" s="16"/>
      <c r="B671" s="139"/>
      <c r="C671" s="139"/>
      <c r="D671" s="150" t="s">
        <v>381</v>
      </c>
      <c r="E671" s="163"/>
      <c r="F671" s="156">
        <v>3</v>
      </c>
      <c r="G671" s="156">
        <v>5.64</v>
      </c>
      <c r="H671" s="142"/>
      <c r="I671" s="142"/>
      <c r="J671" s="156"/>
      <c r="K671" s="26">
        <f t="shared" si="48"/>
        <v>16.919999999999998</v>
      </c>
    </row>
    <row r="672" spans="1:11" s="12" customFormat="1">
      <c r="A672" s="16"/>
      <c r="B672" s="139"/>
      <c r="C672" s="139"/>
      <c r="D672" s="150" t="s">
        <v>382</v>
      </c>
      <c r="E672" s="163"/>
      <c r="F672" s="156">
        <v>3</v>
      </c>
      <c r="G672" s="156">
        <v>5.64</v>
      </c>
      <c r="H672" s="142"/>
      <c r="I672" s="142"/>
      <c r="J672" s="156"/>
      <c r="K672" s="26">
        <f t="shared" si="48"/>
        <v>16.919999999999998</v>
      </c>
    </row>
    <row r="673" spans="1:11" s="12" customFormat="1">
      <c r="A673" s="16"/>
      <c r="B673" s="139"/>
      <c r="C673" s="139"/>
      <c r="D673" s="150" t="s">
        <v>383</v>
      </c>
      <c r="E673" s="163"/>
      <c r="F673" s="156">
        <v>3</v>
      </c>
      <c r="G673" s="156">
        <v>5.64</v>
      </c>
      <c r="H673" s="142"/>
      <c r="I673" s="142"/>
      <c r="J673" s="156"/>
      <c r="K673" s="26">
        <f t="shared" si="48"/>
        <v>16.919999999999998</v>
      </c>
    </row>
    <row r="674" spans="1:11" s="12" customFormat="1">
      <c r="A674" s="16"/>
      <c r="B674" s="139"/>
      <c r="C674" s="139"/>
      <c r="D674" s="150" t="s">
        <v>139</v>
      </c>
      <c r="E674" s="163"/>
      <c r="F674" s="156"/>
      <c r="G674" s="156"/>
      <c r="H674" s="142"/>
      <c r="I674" s="142"/>
      <c r="J674" s="156"/>
      <c r="K674" s="26">
        <v>34.56</v>
      </c>
    </row>
    <row r="675" spans="1:11" s="12" customFormat="1">
      <c r="A675" s="16"/>
      <c r="B675" s="139"/>
      <c r="C675" s="139"/>
      <c r="D675" s="150" t="s">
        <v>384</v>
      </c>
      <c r="E675" s="163"/>
      <c r="F675" s="156">
        <v>1.47</v>
      </c>
      <c r="G675" s="156">
        <v>4.72</v>
      </c>
      <c r="H675" s="142"/>
      <c r="I675" s="142"/>
      <c r="J675" s="156"/>
      <c r="K675" s="26">
        <f t="shared" ref="K675:K681" si="49">F675*G675</f>
        <v>6.9383999999999997</v>
      </c>
    </row>
    <row r="676" spans="1:11" s="12" customFormat="1">
      <c r="A676" s="16"/>
      <c r="B676" s="139"/>
      <c r="C676" s="139"/>
      <c r="D676" s="150" t="s">
        <v>385</v>
      </c>
      <c r="E676" s="163"/>
      <c r="F676" s="156">
        <v>1.94</v>
      </c>
      <c r="G676" s="156">
        <v>4.38</v>
      </c>
      <c r="H676" s="142"/>
      <c r="I676" s="142"/>
      <c r="J676" s="156"/>
      <c r="K676" s="26">
        <f t="shared" si="49"/>
        <v>8.4971999999999994</v>
      </c>
    </row>
    <row r="677" spans="1:11" s="12" customFormat="1">
      <c r="A677" s="16"/>
      <c r="B677" s="139"/>
      <c r="C677" s="139"/>
      <c r="D677" s="150" t="s">
        <v>386</v>
      </c>
      <c r="E677" s="163"/>
      <c r="F677" s="156">
        <v>2.7</v>
      </c>
      <c r="G677" s="156">
        <v>2.8</v>
      </c>
      <c r="H677" s="142"/>
      <c r="I677" s="142"/>
      <c r="J677" s="156"/>
      <c r="K677" s="26">
        <f t="shared" si="49"/>
        <v>7.56</v>
      </c>
    </row>
    <row r="678" spans="1:11" s="12" customFormat="1">
      <c r="A678" s="16"/>
      <c r="B678" s="139"/>
      <c r="C678" s="139"/>
      <c r="D678" s="150" t="s">
        <v>1333</v>
      </c>
      <c r="E678" s="163"/>
      <c r="F678" s="156">
        <v>1.24</v>
      </c>
      <c r="G678" s="156">
        <v>4.42</v>
      </c>
      <c r="H678" s="142"/>
      <c r="I678" s="142"/>
      <c r="J678" s="156"/>
      <c r="K678" s="26">
        <f t="shared" si="49"/>
        <v>5.4807999999999995</v>
      </c>
    </row>
    <row r="679" spans="1:11" s="12" customFormat="1">
      <c r="A679" s="16"/>
      <c r="B679" s="139"/>
      <c r="C679" s="139"/>
      <c r="D679" s="150" t="s">
        <v>387</v>
      </c>
      <c r="E679" s="163"/>
      <c r="F679" s="156">
        <v>2.6</v>
      </c>
      <c r="G679" s="156">
        <v>2.7</v>
      </c>
      <c r="H679" s="142"/>
      <c r="I679" s="142"/>
      <c r="J679" s="156"/>
      <c r="K679" s="26">
        <f t="shared" si="49"/>
        <v>7.0200000000000005</v>
      </c>
    </row>
    <row r="680" spans="1:11" s="12" customFormat="1">
      <c r="A680" s="16"/>
      <c r="B680" s="139"/>
      <c r="C680" s="139"/>
      <c r="D680" s="150" t="s">
        <v>388</v>
      </c>
      <c r="E680" s="163"/>
      <c r="F680" s="156">
        <v>1.5</v>
      </c>
      <c r="G680" s="156">
        <v>2.7</v>
      </c>
      <c r="H680" s="142"/>
      <c r="I680" s="142"/>
      <c r="J680" s="156"/>
      <c r="K680" s="26">
        <f t="shared" si="49"/>
        <v>4.0500000000000007</v>
      </c>
    </row>
    <row r="681" spans="1:11" s="12" customFormat="1">
      <c r="A681" s="16"/>
      <c r="B681" s="139"/>
      <c r="C681" s="139"/>
      <c r="D681" s="150" t="s">
        <v>1332</v>
      </c>
      <c r="E681" s="163"/>
      <c r="F681" s="156">
        <v>2.6</v>
      </c>
      <c r="G681" s="156">
        <v>3.26</v>
      </c>
      <c r="H681" s="142"/>
      <c r="I681" s="142"/>
      <c r="J681" s="156"/>
      <c r="K681" s="26">
        <f t="shared" si="49"/>
        <v>8.4759999999999991</v>
      </c>
    </row>
    <row r="682" spans="1:11" s="12" customFormat="1">
      <c r="A682" s="16"/>
      <c r="B682" s="139"/>
      <c r="C682" s="139"/>
      <c r="D682" s="150" t="s">
        <v>389</v>
      </c>
      <c r="E682" s="163"/>
      <c r="F682" s="156"/>
      <c r="G682" s="156"/>
      <c r="H682" s="142"/>
      <c r="I682" s="142"/>
      <c r="J682" s="156"/>
      <c r="K682" s="26">
        <v>9.36</v>
      </c>
    </row>
    <row r="683" spans="1:11" s="12" customFormat="1">
      <c r="A683" s="16"/>
      <c r="B683" s="139"/>
      <c r="C683" s="139"/>
      <c r="D683" s="150" t="s">
        <v>1354</v>
      </c>
      <c r="E683" s="163"/>
      <c r="F683" s="156"/>
      <c r="G683" s="156"/>
      <c r="H683" s="142"/>
      <c r="I683" s="142"/>
      <c r="J683" s="156"/>
      <c r="K683" s="26">
        <v>53.16</v>
      </c>
    </row>
    <row r="684" spans="1:11" s="12" customFormat="1">
      <c r="A684" s="16"/>
      <c r="B684" s="139"/>
      <c r="C684" s="139"/>
      <c r="D684" s="150" t="s">
        <v>1355</v>
      </c>
      <c r="E684" s="163"/>
      <c r="F684" s="156"/>
      <c r="G684" s="156"/>
      <c r="H684" s="142"/>
      <c r="I684" s="142"/>
      <c r="J684" s="156"/>
      <c r="K684" s="26">
        <v>108.96</v>
      </c>
    </row>
    <row r="685" spans="1:11" s="12" customFormat="1">
      <c r="A685" s="16"/>
      <c r="B685" s="139"/>
      <c r="C685" s="139"/>
      <c r="D685" s="150" t="s">
        <v>1357</v>
      </c>
      <c r="E685" s="163"/>
      <c r="F685" s="156"/>
      <c r="G685" s="156"/>
      <c r="H685" s="142"/>
      <c r="I685" s="142"/>
      <c r="J685" s="156"/>
      <c r="K685" s="26">
        <v>33.35</v>
      </c>
    </row>
    <row r="686" spans="1:11" s="12" customFormat="1">
      <c r="A686" s="16"/>
      <c r="B686" s="139"/>
      <c r="C686" s="139"/>
      <c r="D686" s="150" t="s">
        <v>1358</v>
      </c>
      <c r="E686" s="163"/>
      <c r="F686" s="156"/>
      <c r="G686" s="156"/>
      <c r="H686" s="142"/>
      <c r="I686" s="142"/>
      <c r="J686" s="156"/>
      <c r="K686" s="26">
        <v>30.7</v>
      </c>
    </row>
    <row r="687" spans="1:11" s="12" customFormat="1">
      <c r="A687" s="16"/>
      <c r="B687" s="139"/>
      <c r="C687" s="139"/>
      <c r="D687" s="165"/>
      <c r="E687" s="155"/>
      <c r="F687" s="156"/>
      <c r="G687" s="156"/>
      <c r="H687" s="156"/>
      <c r="I687" s="156"/>
      <c r="J687" s="156"/>
      <c r="K687" s="20"/>
    </row>
    <row r="688" spans="1:11" s="12" customFormat="1">
      <c r="A688" s="16" t="s">
        <v>58</v>
      </c>
      <c r="B688" s="139" t="s">
        <v>145</v>
      </c>
      <c r="C688" s="139" t="s">
        <v>11</v>
      </c>
      <c r="D688" s="147" t="s">
        <v>1352</v>
      </c>
      <c r="E688" s="139" t="s">
        <v>210</v>
      </c>
      <c r="F688" s="162"/>
      <c r="G688" s="142"/>
      <c r="H688" s="142"/>
      <c r="I688" s="142"/>
      <c r="J688" s="142"/>
      <c r="K688" s="21">
        <f>SUM(K689:K694)</f>
        <v>40.100000000000009</v>
      </c>
    </row>
    <row r="689" spans="1:11" s="12" customFormat="1">
      <c r="A689" s="16"/>
      <c r="B689" s="139"/>
      <c r="C689" s="139"/>
      <c r="D689" s="147"/>
      <c r="E689" s="153"/>
      <c r="F689" s="162">
        <v>0.8</v>
      </c>
      <c r="G689" s="142"/>
      <c r="H689" s="142"/>
      <c r="I689" s="142">
        <v>1</v>
      </c>
      <c r="J689" s="142"/>
      <c r="K689" s="20">
        <f>F689*I689</f>
        <v>0.8</v>
      </c>
    </row>
    <row r="690" spans="1:11" s="12" customFormat="1">
      <c r="A690" s="16"/>
      <c r="B690" s="139"/>
      <c r="C690" s="139"/>
      <c r="D690" s="147"/>
      <c r="E690" s="153"/>
      <c r="F690" s="162">
        <v>1</v>
      </c>
      <c r="G690" s="142"/>
      <c r="H690" s="142"/>
      <c r="I690" s="142">
        <v>18</v>
      </c>
      <c r="J690" s="142"/>
      <c r="K690" s="20">
        <f t="shared" ref="K690:K694" si="50">F690*I690</f>
        <v>18</v>
      </c>
    </row>
    <row r="691" spans="1:11" s="12" customFormat="1">
      <c r="A691" s="16"/>
      <c r="B691" s="139"/>
      <c r="C691" s="139"/>
      <c r="D691" s="147"/>
      <c r="E691" s="153"/>
      <c r="F691" s="162">
        <v>0.9</v>
      </c>
      <c r="G691" s="142"/>
      <c r="H691" s="142"/>
      <c r="I691" s="142">
        <v>16</v>
      </c>
      <c r="J691" s="142"/>
      <c r="K691" s="20">
        <f t="shared" si="50"/>
        <v>14.4</v>
      </c>
    </row>
    <row r="692" spans="1:11" s="12" customFormat="1">
      <c r="A692" s="16"/>
      <c r="B692" s="139"/>
      <c r="C692" s="139"/>
      <c r="D692" s="147"/>
      <c r="E692" s="153"/>
      <c r="F692" s="162">
        <v>0.6</v>
      </c>
      <c r="G692" s="142"/>
      <c r="H692" s="142"/>
      <c r="I692" s="142">
        <v>7</v>
      </c>
      <c r="J692" s="142"/>
      <c r="K692" s="20">
        <f t="shared" si="50"/>
        <v>4.2</v>
      </c>
    </row>
    <row r="693" spans="1:11" s="12" customFormat="1">
      <c r="A693" s="16"/>
      <c r="B693" s="139"/>
      <c r="C693" s="139"/>
      <c r="D693" s="147"/>
      <c r="E693" s="153"/>
      <c r="F693" s="162">
        <v>1.2</v>
      </c>
      <c r="G693" s="142"/>
      <c r="H693" s="142"/>
      <c r="I693" s="142">
        <v>1</v>
      </c>
      <c r="J693" s="142"/>
      <c r="K693" s="20">
        <f t="shared" si="50"/>
        <v>1.2</v>
      </c>
    </row>
    <row r="694" spans="1:11" s="12" customFormat="1">
      <c r="A694" s="16"/>
      <c r="B694" s="139"/>
      <c r="C694" s="139"/>
      <c r="D694" s="147"/>
      <c r="E694" s="153"/>
      <c r="F694" s="162">
        <v>1.5</v>
      </c>
      <c r="G694" s="142"/>
      <c r="H694" s="142"/>
      <c r="I694" s="142">
        <v>1</v>
      </c>
      <c r="J694" s="142"/>
      <c r="K694" s="20">
        <f t="shared" si="50"/>
        <v>1.5</v>
      </c>
    </row>
    <row r="695" spans="1:11" s="12" customFormat="1">
      <c r="A695" s="16"/>
      <c r="B695" s="139"/>
      <c r="C695" s="139"/>
      <c r="D695" s="147"/>
      <c r="E695" s="153"/>
      <c r="F695" s="162"/>
      <c r="G695" s="142"/>
      <c r="H695" s="142"/>
      <c r="I695" s="142"/>
      <c r="J695" s="142"/>
      <c r="K695" s="20"/>
    </row>
    <row r="696" spans="1:11" s="12" customFormat="1" ht="33.75">
      <c r="A696" s="146" t="s">
        <v>59</v>
      </c>
      <c r="B696" s="140">
        <v>94964</v>
      </c>
      <c r="C696" s="196" t="s">
        <v>9</v>
      </c>
      <c r="D696" s="147" t="s">
        <v>1353</v>
      </c>
      <c r="E696" s="155" t="s">
        <v>400</v>
      </c>
      <c r="F696" s="162"/>
      <c r="G696" s="142"/>
      <c r="H696" s="142"/>
      <c r="I696" s="142"/>
      <c r="J696" s="142"/>
      <c r="K696" s="20"/>
    </row>
    <row r="697" spans="1:11" s="12" customFormat="1">
      <c r="A697" s="16"/>
      <c r="B697" s="139"/>
      <c r="C697" s="139"/>
      <c r="D697" s="147" t="s">
        <v>1359</v>
      </c>
      <c r="E697" s="153"/>
      <c r="F697" s="162">
        <v>5.2</v>
      </c>
      <c r="G697" s="142">
        <v>21.95</v>
      </c>
      <c r="H697" s="142">
        <v>0.1</v>
      </c>
      <c r="I697" s="142"/>
      <c r="J697" s="142"/>
      <c r="K697" s="21">
        <f>PRODUCT(F697:H697)</f>
        <v>11.414000000000001</v>
      </c>
    </row>
    <row r="698" spans="1:11" s="12" customFormat="1">
      <c r="A698" s="16"/>
      <c r="B698" s="139"/>
      <c r="C698" s="139"/>
      <c r="D698" s="147"/>
      <c r="E698" s="153"/>
      <c r="F698" s="162"/>
      <c r="G698" s="142"/>
      <c r="H698" s="142"/>
      <c r="I698" s="142"/>
      <c r="J698" s="142"/>
      <c r="K698" s="20"/>
    </row>
    <row r="699" spans="1:11" s="12" customFormat="1" ht="22.5">
      <c r="A699" s="146" t="s">
        <v>60</v>
      </c>
      <c r="B699" s="140">
        <v>97097</v>
      </c>
      <c r="C699" s="196" t="s">
        <v>9</v>
      </c>
      <c r="D699" s="147" t="s">
        <v>746</v>
      </c>
      <c r="E699" s="155" t="s">
        <v>208</v>
      </c>
      <c r="F699" s="162"/>
      <c r="G699" s="142"/>
      <c r="H699" s="142"/>
      <c r="I699" s="142"/>
      <c r="J699" s="142"/>
      <c r="K699" s="20"/>
    </row>
    <row r="700" spans="1:11" s="12" customFormat="1">
      <c r="A700" s="16"/>
      <c r="B700" s="139"/>
      <c r="C700" s="139"/>
      <c r="D700" s="147" t="s">
        <v>1359</v>
      </c>
      <c r="E700" s="153"/>
      <c r="F700" s="162">
        <v>5.2</v>
      </c>
      <c r="G700" s="142">
        <v>21.95</v>
      </c>
      <c r="H700" s="142"/>
      <c r="I700" s="142"/>
      <c r="J700" s="142"/>
      <c r="K700" s="21">
        <f>PRODUCT(F700:H700)</f>
        <v>114.14</v>
      </c>
    </row>
    <row r="701" spans="1:11" s="12" customFormat="1">
      <c r="A701" s="16"/>
      <c r="B701" s="139"/>
      <c r="C701" s="139"/>
      <c r="D701" s="147"/>
      <c r="E701" s="153"/>
      <c r="F701" s="162"/>
      <c r="G701" s="142"/>
      <c r="H701" s="142"/>
      <c r="I701" s="142"/>
      <c r="J701" s="142"/>
      <c r="K701" s="20"/>
    </row>
    <row r="702" spans="1:11" s="12" customFormat="1">
      <c r="A702" s="377"/>
      <c r="B702" s="139"/>
      <c r="C702" s="139"/>
      <c r="D702" s="148" t="s">
        <v>147</v>
      </c>
      <c r="E702" s="153"/>
      <c r="F702" s="162"/>
      <c r="G702" s="142"/>
      <c r="H702" s="142"/>
      <c r="I702" s="142"/>
      <c r="J702" s="142"/>
      <c r="K702" s="20"/>
    </row>
    <row r="703" spans="1:11" s="12" customFormat="1" ht="56.25">
      <c r="A703" s="18" t="s">
        <v>263</v>
      </c>
      <c r="B703" s="149">
        <v>94275</v>
      </c>
      <c r="C703" s="149" t="s">
        <v>9</v>
      </c>
      <c r="D703" s="150" t="s">
        <v>749</v>
      </c>
      <c r="E703" s="155" t="s">
        <v>210</v>
      </c>
      <c r="F703" s="142"/>
      <c r="G703" s="142"/>
      <c r="H703" s="142"/>
      <c r="I703" s="142"/>
      <c r="J703" s="142"/>
      <c r="K703" s="21">
        <f>G704</f>
        <v>163</v>
      </c>
    </row>
    <row r="704" spans="1:11" s="12" customFormat="1">
      <c r="A704" s="18"/>
      <c r="B704" s="149"/>
      <c r="C704" s="149"/>
      <c r="D704" s="165" t="s">
        <v>1451</v>
      </c>
      <c r="E704" s="155"/>
      <c r="F704" s="142" t="s">
        <v>141</v>
      </c>
      <c r="G704" s="142">
        <f>123+40</f>
        <v>163</v>
      </c>
      <c r="H704" s="142"/>
      <c r="I704" s="142"/>
      <c r="J704" s="142"/>
      <c r="K704" s="21"/>
    </row>
    <row r="705" spans="1:13" s="12" customFormat="1">
      <c r="A705" s="18"/>
      <c r="B705" s="149"/>
      <c r="C705" s="149"/>
      <c r="D705" s="165"/>
      <c r="E705" s="155"/>
      <c r="F705" s="142"/>
      <c r="G705" s="142"/>
      <c r="H705" s="142"/>
      <c r="I705" s="142"/>
      <c r="J705" s="142"/>
      <c r="K705" s="20"/>
    </row>
    <row r="706" spans="1:13" s="12" customFormat="1" ht="33.75">
      <c r="A706" s="18" t="s">
        <v>264</v>
      </c>
      <c r="B706" s="149">
        <v>92396</v>
      </c>
      <c r="C706" s="149" t="s">
        <v>9</v>
      </c>
      <c r="D706" s="165" t="s">
        <v>1360</v>
      </c>
      <c r="E706" s="155" t="s">
        <v>208</v>
      </c>
      <c r="F706" s="142"/>
      <c r="G706" s="142"/>
      <c r="H706" s="142"/>
      <c r="I706" s="142"/>
      <c r="J706" s="142"/>
      <c r="K706" s="21">
        <f>SUM(K707:K708)</f>
        <v>244.5</v>
      </c>
    </row>
    <row r="707" spans="1:13" s="12" customFormat="1">
      <c r="A707" s="18"/>
      <c r="B707" s="149"/>
      <c r="C707" s="149"/>
      <c r="D707" s="165" t="s">
        <v>315</v>
      </c>
      <c r="E707" s="155"/>
      <c r="F707" s="142">
        <v>1.5</v>
      </c>
      <c r="G707" s="142">
        <v>43</v>
      </c>
      <c r="H707" s="142"/>
      <c r="I707" s="142"/>
      <c r="J707" s="142"/>
      <c r="K707" s="20">
        <f>F707*G707</f>
        <v>64.5</v>
      </c>
    </row>
    <row r="708" spans="1:13" s="12" customFormat="1">
      <c r="A708" s="18"/>
      <c r="B708" s="149"/>
      <c r="C708" s="149"/>
      <c r="D708" s="165" t="s">
        <v>1450</v>
      </c>
      <c r="E708" s="155"/>
      <c r="F708" s="142">
        <v>1.5</v>
      </c>
      <c r="G708" s="142">
        <v>120</v>
      </c>
      <c r="H708" s="142"/>
      <c r="I708" s="142"/>
      <c r="J708" s="142"/>
      <c r="K708" s="20">
        <f>F708*G708</f>
        <v>180</v>
      </c>
    </row>
    <row r="709" spans="1:13" s="12" customFormat="1">
      <c r="A709" s="18"/>
      <c r="B709" s="149"/>
      <c r="C709" s="149"/>
      <c r="D709" s="165"/>
      <c r="E709" s="155"/>
      <c r="F709" s="142"/>
      <c r="G709" s="142"/>
      <c r="H709" s="142"/>
      <c r="I709" s="142"/>
      <c r="J709" s="142"/>
      <c r="K709" s="20"/>
    </row>
    <row r="710" spans="1:13" s="12" customFormat="1" ht="33.75">
      <c r="A710" s="18" t="s">
        <v>396</v>
      </c>
      <c r="B710" s="427" t="s">
        <v>1502</v>
      </c>
      <c r="C710" s="149" t="s">
        <v>9</v>
      </c>
      <c r="D710" s="165" t="s">
        <v>1503</v>
      </c>
      <c r="E710" s="155" t="s">
        <v>208</v>
      </c>
      <c r="F710" s="142"/>
      <c r="G710" s="142"/>
      <c r="H710" s="142"/>
      <c r="I710" s="142"/>
      <c r="J710" s="142"/>
      <c r="K710" s="21">
        <f>SUM(K711:K715)</f>
        <v>8.8670399999999994</v>
      </c>
      <c r="M710" s="12" t="s">
        <v>1501</v>
      </c>
    </row>
    <row r="711" spans="1:13" s="12" customFormat="1">
      <c r="A711" s="18"/>
      <c r="B711" s="149"/>
      <c r="C711" s="149"/>
      <c r="D711" s="165" t="s">
        <v>394</v>
      </c>
      <c r="E711" s="155"/>
      <c r="F711" s="142">
        <v>0.6</v>
      </c>
      <c r="G711" s="142">
        <v>13.84</v>
      </c>
      <c r="H711" s="142">
        <v>7.0000000000000007E-2</v>
      </c>
      <c r="I711" s="142"/>
      <c r="J711" s="142"/>
      <c r="K711" s="20">
        <f>F711*G711*H711</f>
        <v>0.58128000000000002</v>
      </c>
    </row>
    <row r="712" spans="1:13" s="12" customFormat="1">
      <c r="A712" s="18"/>
      <c r="B712" s="149"/>
      <c r="C712" s="149"/>
      <c r="D712" s="165" t="s">
        <v>394</v>
      </c>
      <c r="E712" s="155"/>
      <c r="F712" s="142">
        <v>0.6</v>
      </c>
      <c r="G712" s="142">
        <v>48.53</v>
      </c>
      <c r="H712" s="142">
        <v>7.0000000000000007E-2</v>
      </c>
      <c r="I712" s="142"/>
      <c r="J712" s="142"/>
      <c r="K712" s="20">
        <f t="shared" ref="K712:K715" si="51">F712*G712*H712</f>
        <v>2.0382600000000002</v>
      </c>
    </row>
    <row r="713" spans="1:13" s="12" customFormat="1" ht="22.5">
      <c r="A713" s="18"/>
      <c r="B713" s="149"/>
      <c r="C713" s="149"/>
      <c r="D713" s="165" t="s">
        <v>1361</v>
      </c>
      <c r="E713" s="155"/>
      <c r="F713" s="142">
        <v>6</v>
      </c>
      <c r="G713" s="142">
        <v>8.1999999999999993</v>
      </c>
      <c r="H713" s="142">
        <v>7.0000000000000007E-2</v>
      </c>
      <c r="I713" s="142"/>
      <c r="J713" s="142"/>
      <c r="K713" s="20">
        <f t="shared" si="51"/>
        <v>3.444</v>
      </c>
    </row>
    <row r="714" spans="1:13" s="12" customFormat="1">
      <c r="A714" s="18"/>
      <c r="B714" s="149"/>
      <c r="C714" s="149"/>
      <c r="D714" s="165" t="s">
        <v>316</v>
      </c>
      <c r="E714" s="155"/>
      <c r="F714" s="142">
        <v>0.6</v>
      </c>
      <c r="G714" s="142">
        <v>33.9</v>
      </c>
      <c r="H714" s="142">
        <v>7.0000000000000007E-2</v>
      </c>
      <c r="I714" s="142"/>
      <c r="J714" s="142"/>
      <c r="K714" s="20">
        <f t="shared" si="51"/>
        <v>1.4238000000000002</v>
      </c>
    </row>
    <row r="715" spans="1:13" s="12" customFormat="1">
      <c r="A715" s="18"/>
      <c r="B715" s="149"/>
      <c r="C715" s="149"/>
      <c r="D715" s="165" t="s">
        <v>395</v>
      </c>
      <c r="E715" s="155"/>
      <c r="F715" s="142">
        <v>0.6</v>
      </c>
      <c r="G715" s="142">
        <v>32.85</v>
      </c>
      <c r="H715" s="142">
        <v>7.0000000000000007E-2</v>
      </c>
      <c r="I715" s="142"/>
      <c r="J715" s="142"/>
      <c r="K715" s="20">
        <f t="shared" si="51"/>
        <v>1.3797000000000001</v>
      </c>
    </row>
    <row r="716" spans="1:13" s="12" customFormat="1">
      <c r="A716" s="18"/>
      <c r="B716" s="149"/>
      <c r="C716" s="149"/>
      <c r="D716" s="165"/>
      <c r="E716" s="155"/>
      <c r="F716" s="142"/>
      <c r="G716" s="142"/>
      <c r="H716" s="142"/>
      <c r="I716" s="142"/>
      <c r="J716" s="142"/>
      <c r="K716" s="20"/>
    </row>
    <row r="717" spans="1:13" s="12" customFormat="1">
      <c r="A717" s="323">
        <v>10.9</v>
      </c>
      <c r="B717" s="196" t="s">
        <v>1236</v>
      </c>
      <c r="C717" s="196" t="s">
        <v>133</v>
      </c>
      <c r="D717" s="324" t="s">
        <v>1237</v>
      </c>
      <c r="E717" s="196" t="s">
        <v>400</v>
      </c>
      <c r="F717" s="142"/>
      <c r="G717" s="142"/>
      <c r="H717" s="142"/>
      <c r="I717" s="142"/>
      <c r="J717" s="142"/>
      <c r="K717" s="21">
        <f>K718</f>
        <v>22.637999999999998</v>
      </c>
    </row>
    <row r="718" spans="1:13" s="12" customFormat="1">
      <c r="A718" s="146"/>
      <c r="B718" s="325"/>
      <c r="C718" s="325"/>
      <c r="D718" s="322" t="s">
        <v>1241</v>
      </c>
      <c r="E718" s="326"/>
      <c r="F718" s="142">
        <v>5.39</v>
      </c>
      <c r="G718" s="142">
        <v>14</v>
      </c>
      <c r="H718" s="142">
        <v>0.3</v>
      </c>
      <c r="I718" s="142"/>
      <c r="J718" s="142"/>
      <c r="K718" s="20">
        <f>F718*G718*H718</f>
        <v>22.637999999999998</v>
      </c>
    </row>
    <row r="719" spans="1:13" s="12" customFormat="1">
      <c r="A719" s="146"/>
      <c r="B719" s="325"/>
      <c r="C719" s="325"/>
      <c r="D719" s="322"/>
      <c r="E719" s="326"/>
      <c r="F719" s="142"/>
      <c r="G719" s="142"/>
      <c r="H719" s="142"/>
      <c r="I719" s="142"/>
      <c r="J719" s="142"/>
      <c r="K719" s="20"/>
    </row>
    <row r="720" spans="1:13" s="12" customFormat="1">
      <c r="A720" s="114" t="s">
        <v>61</v>
      </c>
      <c r="B720" s="197"/>
      <c r="C720" s="197"/>
      <c r="D720" s="198" t="s">
        <v>62</v>
      </c>
      <c r="E720" s="199"/>
      <c r="F720" s="200"/>
      <c r="G720" s="200"/>
      <c r="H720" s="200"/>
      <c r="I720" s="200"/>
      <c r="J720" s="200"/>
      <c r="K720" s="118"/>
    </row>
    <row r="721" spans="1:11" s="12" customFormat="1" ht="22.5">
      <c r="A721" s="16" t="s">
        <v>63</v>
      </c>
      <c r="B721" s="139">
        <v>88485</v>
      </c>
      <c r="C721" s="139" t="s">
        <v>9</v>
      </c>
      <c r="D721" s="147" t="s">
        <v>1362</v>
      </c>
      <c r="E721" s="139" t="s">
        <v>208</v>
      </c>
      <c r="F721" s="142"/>
      <c r="G721" s="142"/>
      <c r="H721" s="142"/>
      <c r="I721" s="142"/>
      <c r="J721" s="142"/>
      <c r="K721" s="132">
        <f>SUM(K722:K724)-K725</f>
        <v>3796.7550000000001</v>
      </c>
    </row>
    <row r="722" spans="1:11" s="12" customFormat="1" ht="22.5">
      <c r="A722" s="16"/>
      <c r="B722" s="139"/>
      <c r="C722" s="139"/>
      <c r="D722" s="147" t="s">
        <v>1470</v>
      </c>
      <c r="E722" s="139"/>
      <c r="F722" s="142" t="s">
        <v>465</v>
      </c>
      <c r="G722" s="142">
        <f>K201</f>
        <v>1641.32</v>
      </c>
      <c r="H722" s="142"/>
      <c r="I722" s="142">
        <v>2</v>
      </c>
      <c r="J722" s="142"/>
      <c r="K722" s="20">
        <f>G722*I722</f>
        <v>3282.64</v>
      </c>
    </row>
    <row r="723" spans="1:11" s="12" customFormat="1" ht="22.5">
      <c r="A723" s="16"/>
      <c r="B723" s="139"/>
      <c r="C723" s="139"/>
      <c r="D723" s="147" t="s">
        <v>1469</v>
      </c>
      <c r="E723" s="139"/>
      <c r="F723" s="142"/>
      <c r="G723" s="142"/>
      <c r="H723" s="142"/>
      <c r="I723" s="142"/>
      <c r="J723" s="142"/>
      <c r="K723" s="20">
        <f>K525</f>
        <v>370.8</v>
      </c>
    </row>
    <row r="724" spans="1:11" s="12" customFormat="1">
      <c r="A724" s="16"/>
      <c r="B724" s="139"/>
      <c r="C724" s="139"/>
      <c r="D724" s="147" t="s">
        <v>397</v>
      </c>
      <c r="E724" s="139"/>
      <c r="F724" s="142"/>
      <c r="G724" s="187"/>
      <c r="H724" s="187"/>
      <c r="I724" s="142"/>
      <c r="J724" s="142"/>
      <c r="K724" s="20">
        <f>K537</f>
        <v>597.6</v>
      </c>
    </row>
    <row r="725" spans="1:11" s="12" customFormat="1" ht="22.5">
      <c r="A725" s="16"/>
      <c r="B725" s="139"/>
      <c r="C725" s="139"/>
      <c r="D725" s="190" t="s">
        <v>443</v>
      </c>
      <c r="E725" s="139"/>
      <c r="F725" s="142"/>
      <c r="G725" s="142"/>
      <c r="H725" s="142"/>
      <c r="I725" s="142"/>
      <c r="J725" s="142"/>
      <c r="K725" s="28">
        <f>K468+K514+K533+K203</f>
        <v>454.28500000000003</v>
      </c>
    </row>
    <row r="726" spans="1:11" s="12" customFormat="1">
      <c r="A726" s="18"/>
      <c r="B726" s="149"/>
      <c r="C726" s="149"/>
      <c r="D726" s="165"/>
      <c r="E726" s="155"/>
      <c r="F726" s="142"/>
      <c r="G726" s="142"/>
      <c r="H726" s="142"/>
      <c r="I726" s="142"/>
      <c r="J726" s="142"/>
      <c r="K726" s="20"/>
    </row>
    <row r="727" spans="1:11" s="12" customFormat="1" ht="22.5">
      <c r="A727" s="18" t="s">
        <v>64</v>
      </c>
      <c r="B727" s="149">
        <v>96135</v>
      </c>
      <c r="C727" s="149" t="s">
        <v>9</v>
      </c>
      <c r="D727" s="165" t="s">
        <v>1363</v>
      </c>
      <c r="E727" s="139" t="s">
        <v>208</v>
      </c>
      <c r="F727" s="142"/>
      <c r="G727" s="142"/>
      <c r="H727" s="142"/>
      <c r="I727" s="142"/>
      <c r="J727" s="142"/>
      <c r="K727" s="132">
        <f>SUM(K728:K728)-K729</f>
        <v>1327.54</v>
      </c>
    </row>
    <row r="728" spans="1:11" s="12" customFormat="1" ht="22.5">
      <c r="A728" s="18"/>
      <c r="B728" s="149"/>
      <c r="C728" s="149"/>
      <c r="D728" s="147" t="s">
        <v>1471</v>
      </c>
      <c r="E728" s="139"/>
      <c r="F728" s="142" t="s">
        <v>141</v>
      </c>
      <c r="G728" s="142">
        <v>968.56</v>
      </c>
      <c r="H728" s="142">
        <v>1.5</v>
      </c>
      <c r="I728" s="142"/>
      <c r="J728" s="142"/>
      <c r="K728" s="20">
        <f>G728*H728</f>
        <v>1452.84</v>
      </c>
    </row>
    <row r="729" spans="1:11" s="12" customFormat="1">
      <c r="A729" s="18"/>
      <c r="B729" s="149"/>
      <c r="C729" s="149"/>
      <c r="D729" s="190" t="s">
        <v>1472</v>
      </c>
      <c r="E729" s="139"/>
      <c r="F729" s="142"/>
      <c r="G729" s="142"/>
      <c r="H729" s="142"/>
      <c r="I729" s="142"/>
      <c r="J729" s="142"/>
      <c r="K729" s="28">
        <v>125.3</v>
      </c>
    </row>
    <row r="730" spans="1:11" s="12" customFormat="1">
      <c r="A730" s="18"/>
      <c r="B730" s="149"/>
      <c r="C730" s="149"/>
      <c r="D730" s="165"/>
      <c r="E730" s="155"/>
      <c r="F730" s="142"/>
      <c r="G730" s="142"/>
      <c r="H730" s="142"/>
      <c r="I730" s="142"/>
      <c r="J730" s="142"/>
      <c r="K730" s="20"/>
    </row>
    <row r="731" spans="1:11" s="12" customFormat="1" ht="22.5">
      <c r="A731" s="18" t="s">
        <v>65</v>
      </c>
      <c r="B731" s="139" t="s">
        <v>486</v>
      </c>
      <c r="C731" s="139" t="s">
        <v>133</v>
      </c>
      <c r="D731" s="150" t="s">
        <v>1364</v>
      </c>
      <c r="E731" s="139" t="s">
        <v>208</v>
      </c>
      <c r="F731" s="142"/>
      <c r="G731" s="142"/>
      <c r="H731" s="142"/>
      <c r="I731" s="142"/>
      <c r="J731" s="142"/>
      <c r="K731" s="21">
        <f>SUM(K732:K734)</f>
        <v>1334.85</v>
      </c>
    </row>
    <row r="732" spans="1:11" s="12" customFormat="1" ht="22.5">
      <c r="A732" s="18"/>
      <c r="B732" s="149"/>
      <c r="C732" s="149"/>
      <c r="D732" s="147" t="s">
        <v>1469</v>
      </c>
      <c r="E732" s="139" t="s">
        <v>10</v>
      </c>
      <c r="F732" s="142"/>
      <c r="G732" s="142"/>
      <c r="H732" s="142"/>
      <c r="I732" s="142"/>
      <c r="J732" s="142"/>
      <c r="K732" s="20">
        <v>370.8</v>
      </c>
    </row>
    <row r="733" spans="1:11" s="12" customFormat="1" ht="33.75">
      <c r="A733" s="18"/>
      <c r="B733" s="412"/>
      <c r="C733" s="412"/>
      <c r="D733" s="165" t="s">
        <v>1473</v>
      </c>
      <c r="E733" s="395" t="s">
        <v>10</v>
      </c>
      <c r="F733" s="142" t="s">
        <v>141</v>
      </c>
      <c r="G733" s="397">
        <v>244.3</v>
      </c>
      <c r="H733" s="397">
        <v>1.5</v>
      </c>
      <c r="I733" s="397"/>
      <c r="J733" s="397"/>
      <c r="K733" s="20">
        <f>G733*H733</f>
        <v>366.45000000000005</v>
      </c>
    </row>
    <row r="734" spans="1:11" s="12" customFormat="1">
      <c r="A734" s="18"/>
      <c r="B734" s="149"/>
      <c r="C734" s="149"/>
      <c r="D734" s="147" t="s">
        <v>1474</v>
      </c>
      <c r="E734" s="139"/>
      <c r="F734" s="142"/>
      <c r="G734" s="187"/>
      <c r="H734" s="187"/>
      <c r="I734" s="142"/>
      <c r="J734" s="142"/>
      <c r="K734" s="20">
        <f>K537</f>
        <v>597.6</v>
      </c>
    </row>
    <row r="735" spans="1:11" s="12" customFormat="1">
      <c r="A735" s="18"/>
      <c r="B735" s="149"/>
      <c r="C735" s="149"/>
      <c r="E735" s="155"/>
      <c r="F735" s="142"/>
      <c r="G735" s="142"/>
      <c r="H735" s="142"/>
      <c r="I735" s="142"/>
      <c r="J735" s="142"/>
      <c r="K735" s="20"/>
    </row>
    <row r="736" spans="1:11" s="12" customFormat="1" ht="22.5">
      <c r="A736" s="18" t="s">
        <v>281</v>
      </c>
      <c r="B736" s="149">
        <v>88489</v>
      </c>
      <c r="C736" s="149" t="s">
        <v>9</v>
      </c>
      <c r="D736" s="165" t="s">
        <v>1365</v>
      </c>
      <c r="E736" s="139" t="s">
        <v>208</v>
      </c>
      <c r="F736" s="142"/>
      <c r="G736" s="142"/>
      <c r="H736" s="142"/>
      <c r="I736" s="142"/>
      <c r="J736" s="142"/>
      <c r="K736" s="21">
        <f>K737</f>
        <v>2662.39</v>
      </c>
    </row>
    <row r="737" spans="1:11" s="12" customFormat="1" ht="22.5">
      <c r="A737" s="18"/>
      <c r="B737" s="412"/>
      <c r="C737" s="412"/>
      <c r="D737" s="389" t="s">
        <v>1475</v>
      </c>
      <c r="E737" s="395"/>
      <c r="F737" s="397"/>
      <c r="G737" s="397"/>
      <c r="H737" s="397"/>
      <c r="I737" s="397"/>
      <c r="J737" s="397"/>
      <c r="K737" s="20">
        <f>SUM(K727+K731)</f>
        <v>2662.39</v>
      </c>
    </row>
    <row r="738" spans="1:11" s="12" customFormat="1">
      <c r="A738" s="18"/>
      <c r="B738" s="149"/>
      <c r="C738" s="149"/>
      <c r="D738" s="165"/>
      <c r="E738" s="155"/>
      <c r="F738" s="142"/>
      <c r="G738" s="142"/>
      <c r="H738" s="142"/>
      <c r="I738" s="142"/>
      <c r="J738" s="142"/>
      <c r="K738" s="20"/>
    </row>
    <row r="739" spans="1:11" s="12" customFormat="1" ht="45">
      <c r="A739" s="18" t="s">
        <v>282</v>
      </c>
      <c r="B739" s="149">
        <v>100722</v>
      </c>
      <c r="C739" s="149" t="s">
        <v>9</v>
      </c>
      <c r="D739" s="165" t="s">
        <v>1366</v>
      </c>
      <c r="E739" s="139" t="s">
        <v>208</v>
      </c>
      <c r="F739" s="142"/>
      <c r="G739" s="142"/>
      <c r="H739" s="142"/>
      <c r="I739" s="142"/>
      <c r="J739" s="142"/>
      <c r="K739" s="21">
        <f>SUM(K740:K744)</f>
        <v>2439.1986999999999</v>
      </c>
    </row>
    <row r="740" spans="1:11" s="12" customFormat="1" ht="33.75">
      <c r="A740" s="18"/>
      <c r="B740" s="149"/>
      <c r="C740" s="149"/>
      <c r="D740" s="165" t="s">
        <v>1476</v>
      </c>
      <c r="E740" s="155"/>
      <c r="F740" s="162" t="s">
        <v>1477</v>
      </c>
      <c r="G740" s="142"/>
      <c r="H740" s="142"/>
      <c r="I740" s="142"/>
      <c r="J740" s="142"/>
      <c r="K740" s="20">
        <f>K329</f>
        <v>1827.9726999999998</v>
      </c>
    </row>
    <row r="741" spans="1:11" s="12" customFormat="1">
      <c r="A741" s="18"/>
      <c r="B741" s="149"/>
      <c r="C741" s="149"/>
      <c r="D741" s="165" t="s">
        <v>1369</v>
      </c>
      <c r="E741" s="155"/>
      <c r="F741" s="162">
        <v>1.23</v>
      </c>
      <c r="G741" s="142"/>
      <c r="H741" s="142">
        <v>2.1</v>
      </c>
      <c r="I741" s="142">
        <v>1</v>
      </c>
      <c r="J741" s="142">
        <v>2</v>
      </c>
      <c r="K741" s="20">
        <f t="shared" ref="K741:K743" si="52">(F741*H741)*I741*J741</f>
        <v>5.1660000000000004</v>
      </c>
    </row>
    <row r="742" spans="1:11" s="12" customFormat="1">
      <c r="A742" s="18"/>
      <c r="B742" s="149"/>
      <c r="C742" s="149"/>
      <c r="D742" s="165" t="s">
        <v>1370</v>
      </c>
      <c r="E742" s="155"/>
      <c r="F742" s="162">
        <v>1.5</v>
      </c>
      <c r="G742" s="142"/>
      <c r="H742" s="142">
        <v>1.5</v>
      </c>
      <c r="I742" s="142">
        <v>1</v>
      </c>
      <c r="J742" s="142">
        <v>2</v>
      </c>
      <c r="K742" s="20">
        <f t="shared" si="52"/>
        <v>4.5</v>
      </c>
    </row>
    <row r="743" spans="1:11" s="12" customFormat="1">
      <c r="A743" s="18"/>
      <c r="B743" s="149"/>
      <c r="C743" s="149"/>
      <c r="D743" s="165" t="s">
        <v>1371</v>
      </c>
      <c r="E743" s="155"/>
      <c r="F743" s="162">
        <v>0.9</v>
      </c>
      <c r="G743" s="142"/>
      <c r="H743" s="142">
        <v>2.2000000000000002</v>
      </c>
      <c r="I743" s="142">
        <v>1</v>
      </c>
      <c r="J743" s="142">
        <v>2</v>
      </c>
      <c r="K743" s="20">
        <f t="shared" si="52"/>
        <v>3.9600000000000004</v>
      </c>
    </row>
    <row r="744" spans="1:11" s="12" customFormat="1" ht="22.5">
      <c r="A744" s="18"/>
      <c r="B744" s="149"/>
      <c r="C744" s="149"/>
      <c r="D744" s="165" t="s">
        <v>1478</v>
      </c>
      <c r="E744" s="155"/>
      <c r="F744" s="142"/>
      <c r="G744" s="142"/>
      <c r="H744" s="142"/>
      <c r="I744" s="142"/>
      <c r="J744" s="142"/>
      <c r="K744" s="20">
        <f>K547</f>
        <v>597.6</v>
      </c>
    </row>
    <row r="745" spans="1:11" s="12" customFormat="1">
      <c r="A745" s="18"/>
      <c r="B745" s="149"/>
      <c r="C745" s="149"/>
      <c r="D745" s="165"/>
      <c r="E745" s="155"/>
      <c r="F745" s="142"/>
      <c r="G745" s="142"/>
      <c r="H745" s="142"/>
      <c r="I745" s="142"/>
      <c r="J745" s="142"/>
      <c r="K745" s="20"/>
    </row>
    <row r="746" spans="1:11" s="12" customFormat="1" ht="39" customHeight="1">
      <c r="A746" s="18" t="s">
        <v>466</v>
      </c>
      <c r="B746" s="149">
        <v>100760</v>
      </c>
      <c r="C746" s="149" t="s">
        <v>9</v>
      </c>
      <c r="D746" s="165" t="s">
        <v>1367</v>
      </c>
      <c r="E746" s="139" t="s">
        <v>208</v>
      </c>
      <c r="F746" s="142"/>
      <c r="G746" s="142"/>
      <c r="H746" s="142"/>
      <c r="I746" s="142"/>
      <c r="J746" s="142"/>
      <c r="K746" s="21">
        <f>SUM(K747:K751)</f>
        <v>2439.1986999999999</v>
      </c>
    </row>
    <row r="747" spans="1:11" s="12" customFormat="1" ht="33.75">
      <c r="A747" s="18"/>
      <c r="B747" s="149"/>
      <c r="C747" s="149"/>
      <c r="D747" s="165" t="s">
        <v>1476</v>
      </c>
      <c r="E747" s="155"/>
      <c r="F747" s="162" t="s">
        <v>1477</v>
      </c>
      <c r="G747" s="142"/>
      <c r="H747" s="142"/>
      <c r="I747" s="142"/>
      <c r="J747" s="142"/>
      <c r="K747" s="20">
        <f>K740</f>
        <v>1827.9726999999998</v>
      </c>
    </row>
    <row r="748" spans="1:11" s="12" customFormat="1">
      <c r="A748" s="18"/>
      <c r="B748" s="149"/>
      <c r="C748" s="149"/>
      <c r="D748" s="165" t="s">
        <v>1369</v>
      </c>
      <c r="E748" s="155"/>
      <c r="F748" s="162">
        <v>1.23</v>
      </c>
      <c r="G748" s="142"/>
      <c r="H748" s="142">
        <v>2.1</v>
      </c>
      <c r="I748" s="142">
        <v>1</v>
      </c>
      <c r="J748" s="142">
        <v>2</v>
      </c>
      <c r="K748" s="20">
        <f t="shared" ref="K748:K750" si="53">(F748*H748)*I748*J748</f>
        <v>5.1660000000000004</v>
      </c>
    </row>
    <row r="749" spans="1:11" s="12" customFormat="1">
      <c r="A749" s="18"/>
      <c r="B749" s="149"/>
      <c r="C749" s="149"/>
      <c r="D749" s="165" t="s">
        <v>1370</v>
      </c>
      <c r="E749" s="155"/>
      <c r="F749" s="162">
        <v>1.5</v>
      </c>
      <c r="G749" s="142"/>
      <c r="H749" s="142">
        <v>1.5</v>
      </c>
      <c r="I749" s="142">
        <v>1</v>
      </c>
      <c r="J749" s="142">
        <v>2</v>
      </c>
      <c r="K749" s="20">
        <f t="shared" si="53"/>
        <v>4.5</v>
      </c>
    </row>
    <row r="750" spans="1:11" s="12" customFormat="1">
      <c r="A750" s="18"/>
      <c r="B750" s="149"/>
      <c r="C750" s="149"/>
      <c r="D750" s="165" t="s">
        <v>1371</v>
      </c>
      <c r="E750" s="155"/>
      <c r="F750" s="162">
        <v>0.9</v>
      </c>
      <c r="G750" s="142"/>
      <c r="H750" s="142">
        <v>2.2000000000000002</v>
      </c>
      <c r="I750" s="142">
        <v>1</v>
      </c>
      <c r="J750" s="142">
        <v>2</v>
      </c>
      <c r="K750" s="20">
        <f t="shared" si="53"/>
        <v>3.9600000000000004</v>
      </c>
    </row>
    <row r="751" spans="1:11" s="12" customFormat="1" ht="22.5">
      <c r="A751" s="18"/>
      <c r="B751" s="149"/>
      <c r="C751" s="149"/>
      <c r="D751" s="165" t="s">
        <v>1478</v>
      </c>
      <c r="E751" s="155"/>
      <c r="F751" s="142"/>
      <c r="G751" s="142"/>
      <c r="H751" s="142"/>
      <c r="I751" s="142"/>
      <c r="J751" s="142"/>
      <c r="K751" s="20">
        <f>K744</f>
        <v>597.6</v>
      </c>
    </row>
    <row r="752" spans="1:11" s="12" customFormat="1">
      <c r="A752" s="18"/>
      <c r="B752" s="149"/>
      <c r="C752" s="149"/>
      <c r="D752" s="165"/>
      <c r="E752" s="155"/>
      <c r="F752" s="142"/>
      <c r="G752" s="142"/>
      <c r="H752" s="142"/>
      <c r="I752" s="142"/>
      <c r="J752" s="142"/>
      <c r="K752" s="20"/>
    </row>
    <row r="753" spans="1:11" s="12" customFormat="1" ht="22.5">
      <c r="A753" s="18" t="s">
        <v>467</v>
      </c>
      <c r="B753" s="149">
        <v>102220</v>
      </c>
      <c r="C753" s="144" t="s">
        <v>9</v>
      </c>
      <c r="D753" s="165" t="s">
        <v>775</v>
      </c>
      <c r="E753" s="139" t="s">
        <v>208</v>
      </c>
      <c r="F753" s="142"/>
      <c r="G753" s="142"/>
      <c r="H753" s="142"/>
      <c r="I753" s="142"/>
      <c r="J753" s="142"/>
      <c r="K753" s="21">
        <f>SUM(K755:K758)</f>
        <v>82.728000000000009</v>
      </c>
    </row>
    <row r="754" spans="1:11" s="12" customFormat="1">
      <c r="A754" s="18"/>
      <c r="B754" s="149"/>
      <c r="C754" s="149"/>
      <c r="D754" s="192" t="s">
        <v>35</v>
      </c>
      <c r="E754" s="155"/>
      <c r="F754" s="142"/>
      <c r="G754" s="142"/>
      <c r="H754" s="142"/>
      <c r="I754" s="142"/>
      <c r="J754" s="142"/>
      <c r="K754" s="20"/>
    </row>
    <row r="755" spans="1:11" s="12" customFormat="1">
      <c r="A755" s="18"/>
      <c r="B755" s="149"/>
      <c r="C755" s="149"/>
      <c r="D755" s="150" t="s">
        <v>242</v>
      </c>
      <c r="E755" s="155"/>
      <c r="F755" s="162">
        <v>0.9</v>
      </c>
      <c r="G755" s="142"/>
      <c r="H755" s="142">
        <v>2.1</v>
      </c>
      <c r="I755" s="142">
        <v>18</v>
      </c>
      <c r="J755" s="142">
        <v>2</v>
      </c>
      <c r="K755" s="20">
        <f t="shared" ref="K755" si="54">(F755*H755)*I755*J755</f>
        <v>68.040000000000006</v>
      </c>
    </row>
    <row r="756" spans="1:11" s="12" customFormat="1">
      <c r="A756" s="18"/>
      <c r="B756" s="149"/>
      <c r="C756" s="149"/>
      <c r="D756" s="150"/>
      <c r="E756" s="155"/>
      <c r="F756" s="162"/>
      <c r="G756" s="142"/>
      <c r="H756" s="142"/>
      <c r="I756" s="142"/>
      <c r="J756" s="142"/>
      <c r="K756" s="20"/>
    </row>
    <row r="757" spans="1:11" s="12" customFormat="1">
      <c r="A757" s="18"/>
      <c r="B757" s="149"/>
      <c r="C757" s="149"/>
      <c r="D757" s="195" t="s">
        <v>148</v>
      </c>
      <c r="E757" s="155"/>
      <c r="F757" s="162"/>
      <c r="G757" s="142"/>
      <c r="H757" s="142"/>
      <c r="I757" s="142"/>
      <c r="J757" s="142"/>
      <c r="K757" s="20"/>
    </row>
    <row r="758" spans="1:11" s="12" customFormat="1">
      <c r="A758" s="18"/>
      <c r="B758" s="149"/>
      <c r="C758" s="149"/>
      <c r="D758" s="150" t="s">
        <v>242</v>
      </c>
      <c r="E758" s="155"/>
      <c r="F758" s="142">
        <v>0.08</v>
      </c>
      <c r="G758" s="142">
        <v>0.9</v>
      </c>
      <c r="H758" s="142">
        <v>2.1</v>
      </c>
      <c r="I758" s="142">
        <v>18</v>
      </c>
      <c r="J758" s="142">
        <v>2</v>
      </c>
      <c r="K758" s="20">
        <f t="shared" ref="K758" si="55">((2*H758)+(G758))*F758*I758*J758</f>
        <v>14.688000000000001</v>
      </c>
    </row>
    <row r="759" spans="1:11" s="12" customFormat="1">
      <c r="A759" s="18"/>
      <c r="B759" s="149"/>
      <c r="C759" s="149"/>
      <c r="D759" s="150"/>
      <c r="E759" s="155"/>
      <c r="F759" s="142"/>
      <c r="G759" s="142"/>
      <c r="H759" s="142"/>
      <c r="I759" s="142"/>
      <c r="J759" s="142"/>
      <c r="K759" s="20"/>
    </row>
    <row r="760" spans="1:11" s="12" customFormat="1" ht="22.5">
      <c r="A760" s="18" t="s">
        <v>468</v>
      </c>
      <c r="B760" s="149">
        <v>102491</v>
      </c>
      <c r="C760" s="149" t="s">
        <v>9</v>
      </c>
      <c r="D760" s="150" t="s">
        <v>1368</v>
      </c>
      <c r="E760" s="139" t="s">
        <v>208</v>
      </c>
      <c r="F760" s="142"/>
      <c r="G760" s="142"/>
      <c r="H760" s="142"/>
      <c r="I760" s="142"/>
      <c r="J760" s="142"/>
      <c r="K760" s="21">
        <f>K761</f>
        <v>114.14</v>
      </c>
    </row>
    <row r="761" spans="1:11" s="12" customFormat="1">
      <c r="A761" s="18"/>
      <c r="B761" s="149"/>
      <c r="C761" s="149"/>
      <c r="D761" s="147" t="s">
        <v>1359</v>
      </c>
      <c r="E761" s="153"/>
      <c r="F761" s="162">
        <v>5.2</v>
      </c>
      <c r="G761" s="142">
        <v>21.95</v>
      </c>
      <c r="H761" s="142"/>
      <c r="I761" s="142"/>
      <c r="J761" s="142"/>
      <c r="K761" s="20">
        <f>F761*G761</f>
        <v>114.14</v>
      </c>
    </row>
    <row r="762" spans="1:11" s="12" customFormat="1">
      <c r="A762" s="18"/>
      <c r="B762" s="149"/>
      <c r="C762" s="149"/>
      <c r="D762" s="165"/>
      <c r="E762" s="155"/>
      <c r="F762" s="142"/>
      <c r="G762" s="142"/>
      <c r="H762" s="142"/>
      <c r="I762" s="142"/>
      <c r="J762" s="142"/>
      <c r="K762" s="20"/>
    </row>
    <row r="763" spans="1:11" s="12" customFormat="1">
      <c r="A763" s="114" t="s">
        <v>66</v>
      </c>
      <c r="B763" s="197"/>
      <c r="C763" s="197"/>
      <c r="D763" s="369" t="s">
        <v>67</v>
      </c>
      <c r="E763" s="199"/>
      <c r="F763" s="200"/>
      <c r="G763" s="200"/>
      <c r="H763" s="200"/>
      <c r="I763" s="200"/>
      <c r="J763" s="200"/>
      <c r="K763" s="118"/>
    </row>
    <row r="764" spans="1:11" s="12" customFormat="1" ht="45">
      <c r="A764" s="18" t="s">
        <v>68</v>
      </c>
      <c r="B764" s="149">
        <v>89957</v>
      </c>
      <c r="C764" s="380" t="s">
        <v>9</v>
      </c>
      <c r="D764" s="373" t="s">
        <v>1383</v>
      </c>
      <c r="E764" s="166" t="s">
        <v>126</v>
      </c>
      <c r="F764" s="142"/>
      <c r="G764" s="142"/>
      <c r="H764" s="142"/>
      <c r="I764" s="142"/>
      <c r="J764" s="142"/>
      <c r="K764" s="21">
        <f>SUM(K765:K772)</f>
        <v>67</v>
      </c>
    </row>
    <row r="765" spans="1:11" s="12" customFormat="1">
      <c r="A765" s="18"/>
      <c r="B765" s="149"/>
      <c r="C765" s="149"/>
      <c r="D765" s="150" t="s">
        <v>301</v>
      </c>
      <c r="E765" s="155"/>
      <c r="F765" s="142"/>
      <c r="G765" s="142"/>
      <c r="H765" s="142"/>
      <c r="I765" s="142"/>
      <c r="J765" s="142"/>
      <c r="K765" s="20">
        <v>6</v>
      </c>
    </row>
    <row r="766" spans="1:11" s="12" customFormat="1">
      <c r="A766" s="18"/>
      <c r="B766" s="149"/>
      <c r="C766" s="149"/>
      <c r="D766" s="150" t="s">
        <v>1392</v>
      </c>
      <c r="E766" s="155"/>
      <c r="F766" s="142"/>
      <c r="G766" s="142"/>
      <c r="H766" s="142"/>
      <c r="I766" s="142"/>
      <c r="J766" s="142"/>
      <c r="K766" s="20">
        <v>13</v>
      </c>
    </row>
    <row r="767" spans="1:11" s="12" customFormat="1">
      <c r="A767" s="18"/>
      <c r="B767" s="149"/>
      <c r="C767" s="149"/>
      <c r="D767" s="150" t="s">
        <v>332</v>
      </c>
      <c r="E767" s="155"/>
      <c r="F767" s="142"/>
      <c r="G767" s="142"/>
      <c r="H767" s="142"/>
      <c r="I767" s="142"/>
      <c r="J767" s="142"/>
      <c r="K767" s="20">
        <v>16</v>
      </c>
    </row>
    <row r="768" spans="1:11" s="12" customFormat="1">
      <c r="A768" s="18"/>
      <c r="B768" s="149"/>
      <c r="C768" s="149"/>
      <c r="D768" s="150" t="s">
        <v>333</v>
      </c>
      <c r="E768" s="155"/>
      <c r="F768" s="142"/>
      <c r="G768" s="142"/>
      <c r="H768" s="142"/>
      <c r="I768" s="142"/>
      <c r="J768" s="142"/>
      <c r="K768" s="20">
        <v>16</v>
      </c>
    </row>
    <row r="769" spans="1:14" s="12" customFormat="1">
      <c r="A769" s="18"/>
      <c r="B769" s="149"/>
      <c r="C769" s="149"/>
      <c r="D769" s="150" t="s">
        <v>334</v>
      </c>
      <c r="E769" s="155"/>
      <c r="F769" s="142"/>
      <c r="G769" s="142"/>
      <c r="H769" s="142"/>
      <c r="I769" s="142"/>
      <c r="J769" s="142"/>
      <c r="K769" s="20">
        <v>4</v>
      </c>
    </row>
    <row r="770" spans="1:14" s="12" customFormat="1">
      <c r="A770" s="18"/>
      <c r="B770" s="149"/>
      <c r="C770" s="149"/>
      <c r="D770" s="150" t="s">
        <v>335</v>
      </c>
      <c r="E770" s="155"/>
      <c r="F770" s="142"/>
      <c r="G770" s="142"/>
      <c r="H770" s="142"/>
      <c r="I770" s="142"/>
      <c r="J770" s="142"/>
      <c r="K770" s="20">
        <v>4</v>
      </c>
    </row>
    <row r="771" spans="1:14" s="12" customFormat="1">
      <c r="A771" s="18"/>
      <c r="B771" s="149"/>
      <c r="C771" s="149"/>
      <c r="D771" s="150" t="s">
        <v>1393</v>
      </c>
      <c r="E771" s="155"/>
      <c r="F771" s="142"/>
      <c r="G771" s="142"/>
      <c r="H771" s="142"/>
      <c r="I771" s="142"/>
      <c r="J771" s="142"/>
      <c r="K771" s="20">
        <v>4</v>
      </c>
    </row>
    <row r="772" spans="1:14" s="12" customFormat="1">
      <c r="A772" s="18"/>
      <c r="B772" s="149"/>
      <c r="C772" s="149"/>
      <c r="D772" s="150" t="s">
        <v>1394</v>
      </c>
      <c r="E772" s="155"/>
      <c r="F772" s="142"/>
      <c r="G772" s="142"/>
      <c r="H772" s="142"/>
      <c r="I772" s="142"/>
      <c r="J772" s="142"/>
      <c r="K772" s="20">
        <v>4</v>
      </c>
      <c r="N772" s="418"/>
    </row>
    <row r="773" spans="1:14" s="12" customFormat="1">
      <c r="A773" s="18"/>
      <c r="B773" s="149"/>
      <c r="C773" s="149"/>
      <c r="D773" s="165"/>
      <c r="E773" s="155"/>
      <c r="F773" s="142"/>
      <c r="G773" s="142"/>
      <c r="H773" s="142"/>
      <c r="I773" s="142"/>
      <c r="J773" s="142"/>
      <c r="K773" s="21"/>
      <c r="N773" s="418"/>
    </row>
    <row r="774" spans="1:14" s="12" customFormat="1" ht="45">
      <c r="A774" s="18" t="s">
        <v>69</v>
      </c>
      <c r="B774" s="155">
        <v>94498</v>
      </c>
      <c r="C774" s="367" t="s">
        <v>9</v>
      </c>
      <c r="D774" s="388" t="s">
        <v>1384</v>
      </c>
      <c r="E774" s="368" t="s">
        <v>126</v>
      </c>
      <c r="F774" s="142"/>
      <c r="G774" s="142"/>
      <c r="H774" s="142"/>
      <c r="I774" s="142"/>
      <c r="J774" s="142"/>
      <c r="K774" s="47">
        <f>K775</f>
        <v>3</v>
      </c>
      <c r="N774" s="418"/>
    </row>
    <row r="775" spans="1:14" s="12" customFormat="1" ht="22.5">
      <c r="A775" s="18"/>
      <c r="B775" s="141"/>
      <c r="C775" s="141"/>
      <c r="D775" s="389" t="s">
        <v>303</v>
      </c>
      <c r="E775" s="166"/>
      <c r="F775" s="142"/>
      <c r="G775" s="142"/>
      <c r="H775" s="142"/>
      <c r="I775" s="142"/>
      <c r="J775" s="142"/>
      <c r="K775" s="29">
        <v>3</v>
      </c>
      <c r="N775" s="418"/>
    </row>
    <row r="776" spans="1:14" s="12" customFormat="1" ht="33.75" hidden="1">
      <c r="A776" s="18" t="s">
        <v>70</v>
      </c>
      <c r="B776" s="202">
        <v>94497</v>
      </c>
      <c r="C776" s="141" t="s">
        <v>9</v>
      </c>
      <c r="D776" s="320" t="s">
        <v>153</v>
      </c>
      <c r="E776" s="166" t="s">
        <v>131</v>
      </c>
      <c r="F776" s="142"/>
      <c r="G776" s="142"/>
      <c r="H776" s="142"/>
      <c r="I776" s="142"/>
      <c r="J776" s="142"/>
      <c r="K776" s="29">
        <v>2</v>
      </c>
      <c r="N776" s="418"/>
    </row>
    <row r="777" spans="1:14" s="12" customFormat="1" ht="22.5" hidden="1">
      <c r="A777" s="18"/>
      <c r="B777" s="141"/>
      <c r="C777" s="141"/>
      <c r="D777" s="320" t="s">
        <v>244</v>
      </c>
      <c r="E777" s="166"/>
      <c r="F777" s="142"/>
      <c r="G777" s="142"/>
      <c r="H777" s="142"/>
      <c r="I777" s="142"/>
      <c r="J777" s="142"/>
      <c r="K777" s="29"/>
      <c r="N777" s="418"/>
    </row>
    <row r="778" spans="1:14" s="12" customFormat="1" ht="10.9" customHeight="1">
      <c r="A778" s="18"/>
      <c r="B778" s="141"/>
      <c r="C778" s="367"/>
      <c r="D778" s="165"/>
      <c r="E778" s="368"/>
      <c r="F778" s="142"/>
      <c r="G778" s="142"/>
      <c r="H778" s="142"/>
      <c r="I778" s="142"/>
      <c r="J778" s="142"/>
      <c r="K778" s="29"/>
      <c r="N778" s="418"/>
    </row>
    <row r="779" spans="1:14" s="12" customFormat="1" ht="22.5">
      <c r="A779" s="18" t="s">
        <v>70</v>
      </c>
      <c r="B779" s="155">
        <v>89353</v>
      </c>
      <c r="C779" s="367" t="s">
        <v>9</v>
      </c>
      <c r="D779" s="372" t="s">
        <v>1385</v>
      </c>
      <c r="E779" s="368" t="s">
        <v>126</v>
      </c>
      <c r="F779" s="142"/>
      <c r="G779" s="142"/>
      <c r="H779" s="142"/>
      <c r="I779" s="142"/>
      <c r="J779" s="142"/>
      <c r="K779" s="47">
        <f>K780</f>
        <v>15</v>
      </c>
      <c r="N779" s="418"/>
    </row>
    <row r="780" spans="1:14" s="12" customFormat="1">
      <c r="A780" s="18"/>
      <c r="B780" s="141"/>
      <c r="C780" s="367"/>
      <c r="D780" s="150" t="s">
        <v>1395</v>
      </c>
      <c r="E780" s="381"/>
      <c r="F780" s="142"/>
      <c r="G780" s="142"/>
      <c r="H780" s="142"/>
      <c r="I780" s="142"/>
      <c r="J780" s="142"/>
      <c r="K780" s="20">
        <v>15</v>
      </c>
      <c r="N780" s="418"/>
    </row>
    <row r="781" spans="1:14" s="12" customFormat="1" ht="22.5" hidden="1">
      <c r="A781" s="18" t="s">
        <v>72</v>
      </c>
      <c r="B781" s="202">
        <v>89351</v>
      </c>
      <c r="C781" s="367" t="s">
        <v>9</v>
      </c>
      <c r="D781" s="165" t="s">
        <v>154</v>
      </c>
      <c r="E781" s="368" t="s">
        <v>131</v>
      </c>
      <c r="F781" s="142"/>
      <c r="G781" s="142"/>
      <c r="H781" s="142"/>
      <c r="I781" s="142"/>
      <c r="J781" s="142"/>
      <c r="K781" s="47">
        <f>K782</f>
        <v>1</v>
      </c>
      <c r="N781" s="418"/>
    </row>
    <row r="782" spans="1:14" s="12" customFormat="1" hidden="1">
      <c r="A782" s="18"/>
      <c r="B782" s="141"/>
      <c r="C782" s="367"/>
      <c r="D782" s="150" t="s">
        <v>140</v>
      </c>
      <c r="E782" s="381"/>
      <c r="F782" s="142"/>
      <c r="G782" s="142"/>
      <c r="H782" s="142"/>
      <c r="I782" s="142"/>
      <c r="J782" s="142"/>
      <c r="K782" s="20">
        <v>1</v>
      </c>
      <c r="N782" s="418"/>
    </row>
    <row r="783" spans="1:14" s="12" customFormat="1">
      <c r="A783" s="18"/>
      <c r="B783" s="141"/>
      <c r="C783" s="367"/>
      <c r="D783" s="165"/>
      <c r="E783" s="368"/>
      <c r="F783" s="142"/>
      <c r="G783" s="142"/>
      <c r="H783" s="142"/>
      <c r="I783" s="142"/>
      <c r="J783" s="142"/>
      <c r="K783" s="29"/>
      <c r="N783" s="418"/>
    </row>
    <row r="784" spans="1:14" s="12" customFormat="1" ht="22.5">
      <c r="A784" s="18" t="s">
        <v>71</v>
      </c>
      <c r="B784" s="155">
        <v>89447</v>
      </c>
      <c r="C784" s="367" t="s">
        <v>9</v>
      </c>
      <c r="D784" s="375" t="s">
        <v>1386</v>
      </c>
      <c r="E784" s="368" t="s">
        <v>210</v>
      </c>
      <c r="F784" s="142"/>
      <c r="G784" s="142"/>
      <c r="H784" s="142"/>
      <c r="I784" s="142"/>
      <c r="J784" s="142"/>
      <c r="K784" s="47">
        <f>K785</f>
        <v>83.3</v>
      </c>
    </row>
    <row r="785" spans="1:14" s="12" customFormat="1" ht="22.5">
      <c r="A785" s="18"/>
      <c r="B785" s="155"/>
      <c r="C785" s="367"/>
      <c r="D785" s="165" t="s">
        <v>304</v>
      </c>
      <c r="E785" s="368"/>
      <c r="F785" s="142"/>
      <c r="G785" s="142"/>
      <c r="H785" s="142"/>
      <c r="I785" s="142"/>
      <c r="J785" s="142"/>
      <c r="K785" s="29">
        <v>83.3</v>
      </c>
    </row>
    <row r="786" spans="1:14" s="12" customFormat="1">
      <c r="A786" s="18"/>
      <c r="B786" s="155"/>
      <c r="C786" s="367"/>
      <c r="D786" s="165"/>
      <c r="E786" s="368"/>
      <c r="F786" s="142"/>
      <c r="G786" s="142"/>
      <c r="H786" s="142"/>
      <c r="I786" s="142"/>
      <c r="J786" s="142"/>
      <c r="K786" s="29"/>
    </row>
    <row r="787" spans="1:14" s="12" customFormat="1" ht="22.5">
      <c r="A787" s="18" t="s">
        <v>72</v>
      </c>
      <c r="B787" s="155">
        <v>89446</v>
      </c>
      <c r="C787" s="367" t="s">
        <v>9</v>
      </c>
      <c r="D787" s="374" t="s">
        <v>1387</v>
      </c>
      <c r="E787" s="368" t="s">
        <v>210</v>
      </c>
      <c r="F787" s="142"/>
      <c r="G787" s="142"/>
      <c r="H787" s="142"/>
      <c r="I787" s="142"/>
      <c r="J787" s="142"/>
      <c r="K787" s="47">
        <f>K788</f>
        <v>107.9</v>
      </c>
    </row>
    <row r="788" spans="1:14" s="12" customFormat="1" ht="22.5">
      <c r="A788" s="18"/>
      <c r="B788" s="141"/>
      <c r="C788" s="370"/>
      <c r="D788" s="387" t="s">
        <v>304</v>
      </c>
      <c r="E788" s="385"/>
      <c r="F788" s="386"/>
      <c r="G788" s="386"/>
      <c r="H788" s="142"/>
      <c r="I788" s="142"/>
      <c r="J788" s="142"/>
      <c r="K788" s="29">
        <v>107.9</v>
      </c>
    </row>
    <row r="789" spans="1:14" s="12" customFormat="1">
      <c r="A789" s="18"/>
      <c r="B789" s="141"/>
      <c r="C789" s="367"/>
      <c r="D789" s="165"/>
      <c r="E789" s="368"/>
      <c r="F789" s="142"/>
      <c r="G789" s="142"/>
      <c r="H789" s="142"/>
      <c r="I789" s="142"/>
      <c r="J789" s="142"/>
      <c r="K789" s="29"/>
    </row>
    <row r="790" spans="1:14" s="12" customFormat="1" ht="22.5">
      <c r="A790" s="18" t="s">
        <v>320</v>
      </c>
      <c r="B790" s="155">
        <v>89449</v>
      </c>
      <c r="C790" s="367" t="s">
        <v>9</v>
      </c>
      <c r="D790" s="373" t="s">
        <v>1388</v>
      </c>
      <c r="E790" s="368" t="s">
        <v>210</v>
      </c>
      <c r="F790" s="142"/>
      <c r="G790" s="142"/>
      <c r="H790" s="142"/>
      <c r="I790" s="142"/>
      <c r="J790" s="142"/>
      <c r="K790" s="47">
        <f>K791</f>
        <v>75.900000000000006</v>
      </c>
      <c r="N790" s="187"/>
    </row>
    <row r="791" spans="1:14" s="12" customFormat="1" ht="22.5">
      <c r="A791" s="18"/>
      <c r="B791" s="141"/>
      <c r="C791" s="367"/>
      <c r="D791" s="387" t="s">
        <v>304</v>
      </c>
      <c r="E791" s="368"/>
      <c r="F791" s="142"/>
      <c r="G791" s="142"/>
      <c r="H791" s="142"/>
      <c r="I791" s="142"/>
      <c r="J791" s="142"/>
      <c r="K791" s="29">
        <v>75.900000000000006</v>
      </c>
    </row>
    <row r="792" spans="1:14" s="12" customFormat="1">
      <c r="A792" s="18"/>
      <c r="B792" s="141"/>
      <c r="C792" s="367"/>
      <c r="D792" s="165"/>
      <c r="E792" s="368"/>
      <c r="F792" s="142"/>
      <c r="G792" s="142"/>
      <c r="H792" s="142"/>
      <c r="I792" s="142"/>
      <c r="J792" s="142"/>
      <c r="K792" s="29"/>
    </row>
    <row r="793" spans="1:14" s="12" customFormat="1" ht="45">
      <c r="A793" s="18" t="s">
        <v>73</v>
      </c>
      <c r="B793" s="144" t="s">
        <v>477</v>
      </c>
      <c r="C793" s="383" t="s">
        <v>133</v>
      </c>
      <c r="D793" s="373" t="s">
        <v>1389</v>
      </c>
      <c r="E793" s="384" t="s">
        <v>1382</v>
      </c>
      <c r="F793" s="142"/>
      <c r="G793" s="142"/>
      <c r="H793" s="142"/>
      <c r="I793" s="142"/>
      <c r="J793" s="142"/>
      <c r="K793" s="21">
        <v>1</v>
      </c>
    </row>
    <row r="794" spans="1:14" s="12" customFormat="1">
      <c r="A794" s="18"/>
      <c r="B794" s="149"/>
      <c r="C794" s="380"/>
      <c r="D794" s="387"/>
      <c r="E794" s="381"/>
      <c r="F794" s="142"/>
      <c r="G794" s="142"/>
      <c r="H794" s="142"/>
      <c r="I794" s="142"/>
      <c r="J794" s="142"/>
      <c r="K794" s="20"/>
    </row>
    <row r="795" spans="1:14" s="12" customFormat="1" ht="33.75">
      <c r="A795" s="18" t="s">
        <v>74</v>
      </c>
      <c r="B795" s="149">
        <v>102111</v>
      </c>
      <c r="C795" s="380" t="s">
        <v>9</v>
      </c>
      <c r="D795" s="375" t="s">
        <v>1390</v>
      </c>
      <c r="E795" s="368" t="s">
        <v>126</v>
      </c>
      <c r="F795" s="142"/>
      <c r="G795" s="142"/>
      <c r="H795" s="142"/>
      <c r="I795" s="142"/>
      <c r="J795" s="142"/>
      <c r="K795" s="21">
        <v>1</v>
      </c>
    </row>
    <row r="796" spans="1:14" s="12" customFormat="1">
      <c r="A796" s="18"/>
      <c r="B796" s="149"/>
      <c r="C796" s="380"/>
      <c r="D796" s="165"/>
      <c r="E796" s="381"/>
      <c r="F796" s="142"/>
      <c r="G796" s="142"/>
      <c r="H796" s="142"/>
      <c r="I796" s="142"/>
      <c r="J796" s="142"/>
      <c r="K796" s="20"/>
    </row>
    <row r="797" spans="1:14" s="12" customFormat="1" ht="22.5">
      <c r="A797" s="18" t="s">
        <v>321</v>
      </c>
      <c r="B797" s="149">
        <v>102137</v>
      </c>
      <c r="C797" s="380" t="s">
        <v>9</v>
      </c>
      <c r="D797" s="373" t="s">
        <v>1391</v>
      </c>
      <c r="E797" s="368" t="s">
        <v>126</v>
      </c>
      <c r="F797" s="142"/>
      <c r="G797" s="142"/>
      <c r="H797" s="142"/>
      <c r="I797" s="142"/>
      <c r="J797" s="142"/>
      <c r="K797" s="21">
        <v>2</v>
      </c>
    </row>
    <row r="798" spans="1:14" s="12" customFormat="1">
      <c r="A798" s="18"/>
      <c r="B798" s="149"/>
      <c r="C798" s="380"/>
      <c r="D798" s="387"/>
      <c r="E798" s="381"/>
      <c r="F798" s="142"/>
      <c r="G798" s="142"/>
      <c r="H798" s="142"/>
      <c r="I798" s="142"/>
      <c r="J798" s="142"/>
      <c r="K798" s="20"/>
    </row>
    <row r="799" spans="1:14" s="12" customFormat="1">
      <c r="A799" s="114" t="s">
        <v>75</v>
      </c>
      <c r="B799" s="197"/>
      <c r="C799" s="197"/>
      <c r="D799" s="198" t="s">
        <v>149</v>
      </c>
      <c r="E799" s="199"/>
      <c r="F799" s="200"/>
      <c r="G799" s="200"/>
      <c r="H799" s="200"/>
      <c r="I799" s="200"/>
      <c r="J799" s="200"/>
      <c r="K799" s="118"/>
    </row>
    <row r="800" spans="1:14" s="12" customFormat="1">
      <c r="A800" s="18" t="s">
        <v>76</v>
      </c>
      <c r="B800" s="139" t="s">
        <v>243</v>
      </c>
      <c r="C800" s="139" t="s">
        <v>11</v>
      </c>
      <c r="D800" s="165" t="s">
        <v>1375</v>
      </c>
      <c r="E800" s="155" t="s">
        <v>1381</v>
      </c>
      <c r="F800" s="142"/>
      <c r="G800" s="142"/>
      <c r="H800" s="142"/>
      <c r="I800" s="142"/>
      <c r="J800" s="142"/>
      <c r="K800" s="21">
        <f>SUM(K801:K808)</f>
        <v>79</v>
      </c>
    </row>
    <row r="801" spans="1:11" s="12" customFormat="1">
      <c r="A801" s="18"/>
      <c r="B801" s="149"/>
      <c r="C801" s="149"/>
      <c r="D801" s="150" t="s">
        <v>301</v>
      </c>
      <c r="E801" s="155"/>
      <c r="F801" s="142"/>
      <c r="G801" s="142"/>
      <c r="H801" s="142"/>
      <c r="I801" s="142"/>
      <c r="J801" s="142"/>
      <c r="K801" s="20">
        <v>9</v>
      </c>
    </row>
    <row r="802" spans="1:11" s="12" customFormat="1">
      <c r="A802" s="18"/>
      <c r="B802" s="149"/>
      <c r="C802" s="149"/>
      <c r="D802" s="150" t="s">
        <v>1392</v>
      </c>
      <c r="E802" s="155"/>
      <c r="F802" s="142"/>
      <c r="G802" s="142"/>
      <c r="H802" s="142"/>
      <c r="I802" s="142"/>
      <c r="J802" s="142"/>
      <c r="K802" s="20">
        <v>18</v>
      </c>
    </row>
    <row r="803" spans="1:11" s="12" customFormat="1">
      <c r="A803" s="18"/>
      <c r="B803" s="149"/>
      <c r="C803" s="149"/>
      <c r="D803" s="150" t="s">
        <v>332</v>
      </c>
      <c r="E803" s="155"/>
      <c r="F803" s="142"/>
      <c r="G803" s="142"/>
      <c r="H803" s="142"/>
      <c r="I803" s="142"/>
      <c r="J803" s="142"/>
      <c r="K803" s="20">
        <v>14</v>
      </c>
    </row>
    <row r="804" spans="1:11" s="12" customFormat="1">
      <c r="A804" s="18"/>
      <c r="B804" s="149"/>
      <c r="C804" s="149"/>
      <c r="D804" s="150" t="s">
        <v>333</v>
      </c>
      <c r="E804" s="155"/>
      <c r="F804" s="142"/>
      <c r="G804" s="142"/>
      <c r="H804" s="142"/>
      <c r="I804" s="142"/>
      <c r="J804" s="142"/>
      <c r="K804" s="20">
        <v>14</v>
      </c>
    </row>
    <row r="805" spans="1:11" s="12" customFormat="1">
      <c r="A805" s="18"/>
      <c r="B805" s="149"/>
      <c r="C805" s="149"/>
      <c r="D805" s="150" t="s">
        <v>334</v>
      </c>
      <c r="E805" s="155"/>
      <c r="F805" s="142"/>
      <c r="G805" s="142"/>
      <c r="H805" s="142"/>
      <c r="I805" s="142"/>
      <c r="J805" s="142"/>
      <c r="K805" s="20">
        <v>6</v>
      </c>
    </row>
    <row r="806" spans="1:11" s="12" customFormat="1">
      <c r="A806" s="18"/>
      <c r="B806" s="149"/>
      <c r="C806" s="149"/>
      <c r="D806" s="150" t="s">
        <v>335</v>
      </c>
      <c r="E806" s="155"/>
      <c r="F806" s="142"/>
      <c r="G806" s="142"/>
      <c r="H806" s="142"/>
      <c r="I806" s="142"/>
      <c r="J806" s="142"/>
      <c r="K806" s="20">
        <v>6</v>
      </c>
    </row>
    <row r="807" spans="1:11" s="12" customFormat="1">
      <c r="A807" s="18"/>
      <c r="B807" s="149"/>
      <c r="C807" s="149"/>
      <c r="D807" s="150" t="s">
        <v>1393</v>
      </c>
      <c r="E807" s="155"/>
      <c r="F807" s="142"/>
      <c r="G807" s="142"/>
      <c r="H807" s="142"/>
      <c r="I807" s="142"/>
      <c r="J807" s="142"/>
      <c r="K807" s="20">
        <v>6</v>
      </c>
    </row>
    <row r="808" spans="1:11" s="12" customFormat="1">
      <c r="A808" s="18"/>
      <c r="B808" s="149"/>
      <c r="C808" s="149"/>
      <c r="D808" s="150" t="s">
        <v>1394</v>
      </c>
      <c r="E808" s="155"/>
      <c r="F808" s="142"/>
      <c r="G808" s="142"/>
      <c r="H808" s="142"/>
      <c r="I808" s="142"/>
      <c r="J808" s="142"/>
      <c r="K808" s="20">
        <v>6</v>
      </c>
    </row>
    <row r="809" spans="1:11" s="12" customFormat="1">
      <c r="A809" s="18"/>
      <c r="B809" s="149"/>
      <c r="C809" s="149"/>
      <c r="D809" s="150"/>
      <c r="E809" s="155"/>
      <c r="F809" s="142"/>
      <c r="G809" s="142"/>
      <c r="H809" s="142"/>
      <c r="I809" s="142"/>
      <c r="J809" s="142"/>
      <c r="K809" s="20"/>
    </row>
    <row r="810" spans="1:11" s="12" customFormat="1" ht="33.75">
      <c r="A810" s="18" t="s">
        <v>77</v>
      </c>
      <c r="B810" s="155">
        <v>89482</v>
      </c>
      <c r="C810" s="367" t="s">
        <v>9</v>
      </c>
      <c r="D810" s="165" t="s">
        <v>1376</v>
      </c>
      <c r="E810" s="166" t="s">
        <v>126</v>
      </c>
      <c r="F810" s="142"/>
      <c r="G810" s="142"/>
      <c r="H810" s="142"/>
      <c r="I810" s="142"/>
      <c r="J810" s="142"/>
      <c r="K810" s="47">
        <v>18</v>
      </c>
    </row>
    <row r="811" spans="1:11" s="12" customFormat="1" ht="33.75">
      <c r="A811" s="18" t="s">
        <v>78</v>
      </c>
      <c r="B811" s="155">
        <v>89714</v>
      </c>
      <c r="C811" s="367" t="s">
        <v>9</v>
      </c>
      <c r="D811" s="372" t="s">
        <v>1377</v>
      </c>
      <c r="E811" s="368" t="s">
        <v>210</v>
      </c>
      <c r="F811" s="142"/>
      <c r="G811" s="142"/>
      <c r="H811" s="142"/>
      <c r="I811" s="142"/>
      <c r="J811" s="142"/>
      <c r="K811" s="47">
        <v>203.3</v>
      </c>
    </row>
    <row r="812" spans="1:11" s="12" customFormat="1" ht="33.75">
      <c r="A812" s="18" t="s">
        <v>79</v>
      </c>
      <c r="B812" s="155">
        <v>89711</v>
      </c>
      <c r="C812" s="367" t="s">
        <v>9</v>
      </c>
      <c r="D812" s="373" t="s">
        <v>1402</v>
      </c>
      <c r="E812" s="368" t="s">
        <v>210</v>
      </c>
      <c r="F812" s="142"/>
      <c r="G812" s="142"/>
      <c r="H812" s="142"/>
      <c r="I812" s="142"/>
      <c r="J812" s="142"/>
      <c r="K812" s="47">
        <v>225.48</v>
      </c>
    </row>
    <row r="813" spans="1:11" s="12" customFormat="1" ht="33.75">
      <c r="A813" s="18" t="s">
        <v>80</v>
      </c>
      <c r="B813" s="155">
        <v>89712</v>
      </c>
      <c r="C813" s="367" t="s">
        <v>9</v>
      </c>
      <c r="D813" s="373" t="s">
        <v>1378</v>
      </c>
      <c r="E813" s="368" t="s">
        <v>210</v>
      </c>
      <c r="F813" s="142"/>
      <c r="G813" s="142"/>
      <c r="H813" s="142"/>
      <c r="I813" s="142"/>
      <c r="J813" s="142"/>
      <c r="K813" s="47">
        <v>165.9</v>
      </c>
    </row>
    <row r="814" spans="1:11" s="12" customFormat="1" ht="22.5">
      <c r="A814" s="18" t="s">
        <v>81</v>
      </c>
      <c r="B814" s="141">
        <v>98110</v>
      </c>
      <c r="C814" s="370" t="s">
        <v>9</v>
      </c>
      <c r="D814" s="373" t="s">
        <v>1379</v>
      </c>
      <c r="E814" s="166" t="s">
        <v>126</v>
      </c>
      <c r="F814" s="142"/>
      <c r="G814" s="142"/>
      <c r="H814" s="142"/>
      <c r="I814" s="142"/>
      <c r="J814" s="142"/>
      <c r="K814" s="47">
        <v>1</v>
      </c>
    </row>
    <row r="815" spans="1:11" s="12" customFormat="1">
      <c r="A815" s="18"/>
      <c r="B815" s="141"/>
      <c r="C815" s="367"/>
      <c r="D815" s="387"/>
      <c r="E815" s="368"/>
      <c r="F815" s="142"/>
      <c r="G815" s="142"/>
      <c r="H815" s="142"/>
      <c r="I815" s="142"/>
      <c r="J815" s="142"/>
      <c r="K815" s="47"/>
    </row>
    <row r="816" spans="1:11" s="12" customFormat="1" ht="33.75">
      <c r="A816" s="18" t="s">
        <v>82</v>
      </c>
      <c r="B816" s="141">
        <v>97902</v>
      </c>
      <c r="C816" s="367" t="s">
        <v>9</v>
      </c>
      <c r="D816" s="373" t="s">
        <v>1380</v>
      </c>
      <c r="E816" s="166" t="s">
        <v>126</v>
      </c>
      <c r="F816" s="142"/>
      <c r="G816" s="142"/>
      <c r="H816" s="142"/>
      <c r="I816" s="142"/>
      <c r="J816" s="142"/>
      <c r="K816" s="47">
        <v>15</v>
      </c>
    </row>
    <row r="817" spans="1:11" s="12" customFormat="1">
      <c r="A817" s="18"/>
      <c r="B817" s="149"/>
      <c r="C817" s="380"/>
      <c r="D817" s="382"/>
      <c r="E817" s="381"/>
      <c r="F817" s="142"/>
      <c r="G817" s="142"/>
      <c r="H817" s="142"/>
      <c r="I817" s="142"/>
      <c r="J817" s="142"/>
      <c r="K817" s="20"/>
    </row>
    <row r="818" spans="1:11" s="12" customFormat="1">
      <c r="A818" s="114" t="s">
        <v>83</v>
      </c>
      <c r="B818" s="197"/>
      <c r="C818" s="197"/>
      <c r="D818" s="198" t="s">
        <v>218</v>
      </c>
      <c r="E818" s="199"/>
      <c r="F818" s="200"/>
      <c r="G818" s="200"/>
      <c r="H818" s="200"/>
      <c r="I818" s="200"/>
      <c r="J818" s="200"/>
      <c r="K818" s="118"/>
    </row>
    <row r="819" spans="1:11" s="12" customFormat="1">
      <c r="A819" s="18" t="s">
        <v>85</v>
      </c>
      <c r="B819" s="149">
        <v>93358</v>
      </c>
      <c r="C819" s="149" t="s">
        <v>9</v>
      </c>
      <c r="D819" s="150" t="s">
        <v>1205</v>
      </c>
      <c r="E819" s="149" t="s">
        <v>400</v>
      </c>
      <c r="F819" s="142"/>
      <c r="G819" s="142"/>
      <c r="H819" s="142"/>
      <c r="I819" s="142"/>
      <c r="J819" s="142"/>
      <c r="K819" s="21">
        <f>SUM(K820:K820)</f>
        <v>34.92</v>
      </c>
    </row>
    <row r="820" spans="1:11" s="12" customFormat="1">
      <c r="A820" s="18"/>
      <c r="B820" s="149"/>
      <c r="C820" s="149"/>
      <c r="D820" s="150" t="s">
        <v>434</v>
      </c>
      <c r="E820" s="149"/>
      <c r="F820" s="142">
        <v>0.4</v>
      </c>
      <c r="G820" s="142">
        <v>145.5</v>
      </c>
      <c r="H820" s="142">
        <v>0.6</v>
      </c>
      <c r="I820" s="142"/>
      <c r="J820" s="142"/>
      <c r="K820" s="20">
        <f>(F820*G820*H820)</f>
        <v>34.92</v>
      </c>
    </row>
    <row r="821" spans="1:11" s="12" customFormat="1">
      <c r="A821" s="18"/>
      <c r="B821" s="149"/>
      <c r="C821" s="149"/>
      <c r="D821" s="150"/>
      <c r="E821" s="149"/>
      <c r="F821" s="142"/>
      <c r="G821" s="142"/>
      <c r="H821" s="142"/>
      <c r="I821" s="142"/>
      <c r="J821" s="142"/>
      <c r="K821" s="20"/>
    </row>
    <row r="822" spans="1:11" s="12" customFormat="1" ht="33.75">
      <c r="A822" s="18" t="s">
        <v>86</v>
      </c>
      <c r="B822" s="149">
        <v>89580</v>
      </c>
      <c r="C822" s="149" t="s">
        <v>9</v>
      </c>
      <c r="D822" s="165" t="s">
        <v>1334</v>
      </c>
      <c r="E822" s="155" t="s">
        <v>210</v>
      </c>
      <c r="F822" s="142"/>
      <c r="G822" s="142"/>
      <c r="H822" s="142"/>
      <c r="I822" s="142"/>
      <c r="J822" s="142"/>
      <c r="K822" s="21">
        <f>G823</f>
        <v>146</v>
      </c>
    </row>
    <row r="823" spans="1:11" s="12" customFormat="1">
      <c r="A823" s="18"/>
      <c r="B823" s="149"/>
      <c r="C823" s="149"/>
      <c r="D823" s="165" t="s">
        <v>1479</v>
      </c>
      <c r="E823" s="155"/>
      <c r="F823" s="142"/>
      <c r="G823" s="142">
        <v>146</v>
      </c>
      <c r="H823" s="142"/>
      <c r="I823" s="142"/>
      <c r="J823" s="142"/>
      <c r="K823" s="21"/>
    </row>
    <row r="824" spans="1:11" s="12" customFormat="1">
      <c r="A824" s="18"/>
      <c r="B824" s="149"/>
      <c r="C824" s="149"/>
      <c r="D824" s="165"/>
      <c r="E824" s="155"/>
      <c r="F824" s="142"/>
      <c r="G824" s="142"/>
      <c r="H824" s="142"/>
      <c r="I824" s="142"/>
      <c r="J824" s="142"/>
      <c r="K824" s="21"/>
    </row>
    <row r="825" spans="1:11" s="12" customFormat="1" ht="22.5">
      <c r="A825" s="18" t="s">
        <v>221</v>
      </c>
      <c r="B825" s="149">
        <v>89512</v>
      </c>
      <c r="C825" s="149" t="s">
        <v>9</v>
      </c>
      <c r="D825" s="165" t="s">
        <v>1335</v>
      </c>
      <c r="E825" s="155" t="s">
        <v>210</v>
      </c>
      <c r="F825" s="142"/>
      <c r="G825" s="142"/>
      <c r="H825" s="142"/>
      <c r="I825" s="142"/>
      <c r="J825" s="142"/>
      <c r="K825" s="21">
        <f>G826*I826</f>
        <v>162</v>
      </c>
    </row>
    <row r="826" spans="1:11" s="12" customFormat="1">
      <c r="A826" s="18"/>
      <c r="B826" s="149"/>
      <c r="C826" s="149"/>
      <c r="D826" s="165" t="s">
        <v>1480</v>
      </c>
      <c r="E826" s="155"/>
      <c r="F826" s="142"/>
      <c r="G826" s="142">
        <v>6</v>
      </c>
      <c r="H826" s="142"/>
      <c r="I826" s="142">
        <v>27</v>
      </c>
      <c r="J826" s="142"/>
      <c r="K826" s="21"/>
    </row>
    <row r="827" spans="1:11" s="12" customFormat="1">
      <c r="A827" s="18"/>
      <c r="B827" s="149"/>
      <c r="C827" s="149"/>
      <c r="D827" s="165"/>
      <c r="E827" s="155"/>
      <c r="F827" s="142"/>
      <c r="G827" s="142"/>
      <c r="H827" s="142"/>
      <c r="I827" s="142"/>
      <c r="J827" s="142"/>
      <c r="K827" s="21"/>
    </row>
    <row r="828" spans="1:11" s="12" customFormat="1" ht="33.75">
      <c r="A828" s="18" t="s">
        <v>222</v>
      </c>
      <c r="B828" s="149">
        <v>89531</v>
      </c>
      <c r="C828" s="149" t="s">
        <v>9</v>
      </c>
      <c r="D828" s="165" t="s">
        <v>1336</v>
      </c>
      <c r="E828" s="155" t="s">
        <v>126</v>
      </c>
      <c r="F828" s="142"/>
      <c r="G828" s="142"/>
      <c r="H828" s="142"/>
      <c r="I828" s="142">
        <v>30</v>
      </c>
      <c r="J828" s="142">
        <v>2</v>
      </c>
      <c r="K828" s="21">
        <f>I828*J828</f>
        <v>60</v>
      </c>
    </row>
    <row r="829" spans="1:11" s="12" customFormat="1">
      <c r="A829" s="18"/>
      <c r="B829" s="149"/>
      <c r="C829" s="149"/>
      <c r="D829" s="165"/>
      <c r="E829" s="155"/>
      <c r="F829" s="142"/>
      <c r="G829" s="142"/>
      <c r="H829" s="142"/>
      <c r="I829" s="142"/>
      <c r="J829" s="142"/>
      <c r="K829" s="21"/>
    </row>
    <row r="830" spans="1:11" s="12" customFormat="1">
      <c r="A830" s="18" t="s">
        <v>223</v>
      </c>
      <c r="B830" s="149">
        <v>96995</v>
      </c>
      <c r="C830" s="149" t="s">
        <v>9</v>
      </c>
      <c r="D830" s="150" t="s">
        <v>1337</v>
      </c>
      <c r="E830" s="149" t="s">
        <v>400</v>
      </c>
      <c r="F830" s="142"/>
      <c r="G830" s="142"/>
      <c r="H830" s="142"/>
      <c r="I830" s="142"/>
      <c r="J830" s="142"/>
      <c r="K830" s="204">
        <f>K832</f>
        <v>32.339961000000002</v>
      </c>
    </row>
    <row r="831" spans="1:11" s="12" customFormat="1">
      <c r="A831" s="18"/>
      <c r="B831" s="149"/>
      <c r="C831" s="149"/>
      <c r="D831" s="150"/>
      <c r="E831" s="149"/>
      <c r="F831" s="142"/>
      <c r="G831" s="142"/>
      <c r="H831" s="142"/>
      <c r="I831" s="142"/>
      <c r="J831" s="142"/>
      <c r="K831" s="133"/>
    </row>
    <row r="832" spans="1:11" s="12" customFormat="1">
      <c r="A832" s="18"/>
      <c r="B832" s="149"/>
      <c r="C832" s="149"/>
      <c r="D832" s="150" t="s">
        <v>435</v>
      </c>
      <c r="E832" s="149"/>
      <c r="F832" s="142"/>
      <c r="G832" s="142"/>
      <c r="H832" s="142"/>
      <c r="I832" s="142"/>
      <c r="J832" s="142"/>
      <c r="K832" s="20">
        <f>K835</f>
        <v>32.339961000000002</v>
      </c>
    </row>
    <row r="833" spans="1:11" s="12" customFormat="1">
      <c r="A833" s="18"/>
      <c r="B833" s="149"/>
      <c r="C833" s="149"/>
      <c r="D833" s="205" t="s">
        <v>219</v>
      </c>
      <c r="E833" s="155"/>
      <c r="F833" s="142"/>
      <c r="G833" s="142"/>
      <c r="H833" s="142"/>
      <c r="I833" s="142"/>
      <c r="J833" s="142"/>
      <c r="K833" s="28">
        <f>K820</f>
        <v>34.92</v>
      </c>
    </row>
    <row r="834" spans="1:11" s="12" customFormat="1">
      <c r="A834" s="18"/>
      <c r="B834" s="149"/>
      <c r="C834" s="149"/>
      <c r="D834" s="205" t="s">
        <v>245</v>
      </c>
      <c r="E834" s="155"/>
      <c r="F834" s="142"/>
      <c r="G834" s="142"/>
      <c r="H834" s="142"/>
      <c r="I834" s="142"/>
      <c r="J834" s="142"/>
      <c r="K834" s="28">
        <f>(3.1416*0.075^2)*G823</f>
        <v>2.5800389999999997</v>
      </c>
    </row>
    <row r="835" spans="1:11" s="12" customFormat="1">
      <c r="A835" s="18"/>
      <c r="B835" s="149"/>
      <c r="C835" s="149"/>
      <c r="D835" s="205" t="s">
        <v>220</v>
      </c>
      <c r="E835" s="155"/>
      <c r="F835" s="142"/>
      <c r="G835" s="142"/>
      <c r="H835" s="142"/>
      <c r="I835" s="142"/>
      <c r="J835" s="142"/>
      <c r="K835" s="28">
        <f>K833-(K834)</f>
        <v>32.339961000000002</v>
      </c>
    </row>
    <row r="836" spans="1:11" s="12" customFormat="1">
      <c r="A836" s="18"/>
      <c r="B836" s="149"/>
      <c r="C836" s="149"/>
      <c r="D836" s="205"/>
      <c r="E836" s="155"/>
      <c r="F836" s="142"/>
      <c r="G836" s="142"/>
      <c r="H836" s="142"/>
      <c r="I836" s="142"/>
      <c r="J836" s="142"/>
      <c r="K836" s="28"/>
    </row>
    <row r="837" spans="1:11" s="12" customFormat="1" ht="33.75">
      <c r="A837" s="18" t="s">
        <v>336</v>
      </c>
      <c r="B837" s="149">
        <v>99253</v>
      </c>
      <c r="C837" s="149" t="s">
        <v>9</v>
      </c>
      <c r="D837" s="150" t="s">
        <v>1338</v>
      </c>
      <c r="E837" s="149" t="s">
        <v>126</v>
      </c>
      <c r="F837" s="142"/>
      <c r="G837" s="142"/>
      <c r="H837" s="142"/>
      <c r="I837" s="142"/>
      <c r="J837" s="142"/>
      <c r="K837" s="21">
        <v>18</v>
      </c>
    </row>
    <row r="838" spans="1:11" s="12" customFormat="1">
      <c r="A838" s="18"/>
      <c r="B838" s="149"/>
      <c r="C838" s="149"/>
      <c r="D838" s="165"/>
      <c r="E838" s="155"/>
      <c r="F838" s="142"/>
      <c r="G838" s="142"/>
      <c r="H838" s="142"/>
      <c r="I838" s="142"/>
      <c r="J838" s="142"/>
      <c r="K838" s="20"/>
    </row>
    <row r="839" spans="1:11" s="12" customFormat="1">
      <c r="A839" s="114" t="s">
        <v>87</v>
      </c>
      <c r="B839" s="197"/>
      <c r="C839" s="197"/>
      <c r="D839" s="369" t="s">
        <v>84</v>
      </c>
      <c r="E839" s="199"/>
      <c r="F839" s="200"/>
      <c r="G839" s="200"/>
      <c r="H839" s="200"/>
      <c r="I839" s="200"/>
      <c r="J839" s="200"/>
      <c r="K839" s="118"/>
    </row>
    <row r="840" spans="1:11" s="12" customFormat="1" ht="22.5">
      <c r="A840" s="18" t="s">
        <v>88</v>
      </c>
      <c r="B840" s="155" t="s">
        <v>150</v>
      </c>
      <c r="C840" s="371" t="s">
        <v>11</v>
      </c>
      <c r="D840" s="372" t="s">
        <v>1276</v>
      </c>
      <c r="E840" s="368" t="s">
        <v>126</v>
      </c>
      <c r="F840" s="142"/>
      <c r="G840" s="142"/>
      <c r="H840" s="142"/>
      <c r="I840" s="142"/>
      <c r="J840" s="142"/>
      <c r="K840" s="31">
        <v>1</v>
      </c>
    </row>
    <row r="841" spans="1:11" s="12" customFormat="1" ht="33.75">
      <c r="A841" s="18" t="s">
        <v>89</v>
      </c>
      <c r="B841" s="155">
        <v>86931</v>
      </c>
      <c r="C841" s="141" t="s">
        <v>9</v>
      </c>
      <c r="D841" s="373" t="s">
        <v>1277</v>
      </c>
      <c r="E841" s="368" t="s">
        <v>126</v>
      </c>
      <c r="F841" s="142"/>
      <c r="G841" s="142"/>
      <c r="H841" s="142"/>
      <c r="I841" s="142"/>
      <c r="J841" s="142"/>
      <c r="K841" s="31">
        <v>3</v>
      </c>
    </row>
    <row r="842" spans="1:11" s="12" customFormat="1" ht="22.5">
      <c r="A842" s="18" t="s">
        <v>265</v>
      </c>
      <c r="B842" s="155">
        <v>100848</v>
      </c>
      <c r="C842" s="367" t="s">
        <v>9</v>
      </c>
      <c r="D842" s="374" t="s">
        <v>1278</v>
      </c>
      <c r="E842" s="368" t="s">
        <v>126</v>
      </c>
      <c r="F842" s="142"/>
      <c r="G842" s="142"/>
      <c r="H842" s="142"/>
      <c r="I842" s="142"/>
      <c r="J842" s="142"/>
      <c r="K842" s="31">
        <v>8</v>
      </c>
    </row>
    <row r="843" spans="1:11" s="12" customFormat="1" ht="33.75">
      <c r="A843" s="18" t="s">
        <v>266</v>
      </c>
      <c r="B843" s="155">
        <v>86904</v>
      </c>
      <c r="C843" s="370" t="s">
        <v>9</v>
      </c>
      <c r="D843" s="374" t="s">
        <v>1286</v>
      </c>
      <c r="E843" s="368" t="s">
        <v>126</v>
      </c>
      <c r="F843" s="142"/>
      <c r="G843" s="142"/>
      <c r="H843" s="142"/>
      <c r="I843" s="142"/>
      <c r="J843" s="142"/>
      <c r="K843" s="31">
        <v>16</v>
      </c>
    </row>
    <row r="844" spans="1:11" s="12" customFormat="1" ht="56.25">
      <c r="A844" s="18" t="s">
        <v>267</v>
      </c>
      <c r="B844" s="155">
        <v>86939</v>
      </c>
      <c r="C844" s="370" t="s">
        <v>9</v>
      </c>
      <c r="D844" s="390" t="s">
        <v>1287</v>
      </c>
      <c r="E844" s="368" t="s">
        <v>126</v>
      </c>
      <c r="F844" s="142"/>
      <c r="G844" s="142"/>
      <c r="H844" s="142"/>
      <c r="I844" s="142"/>
      <c r="J844" s="142"/>
      <c r="K844" s="31">
        <v>4</v>
      </c>
    </row>
    <row r="845" spans="1:11" s="12" customFormat="1" ht="22.5">
      <c r="A845" s="18" t="s">
        <v>268</v>
      </c>
      <c r="B845" s="206">
        <v>86901</v>
      </c>
      <c r="C845" s="341" t="s">
        <v>9</v>
      </c>
      <c r="D845" s="374" t="s">
        <v>1279</v>
      </c>
      <c r="E845" s="368" t="s">
        <v>126</v>
      </c>
      <c r="F845" s="142"/>
      <c r="G845" s="142"/>
      <c r="H845" s="142"/>
      <c r="I845" s="142"/>
      <c r="J845" s="142"/>
      <c r="K845" s="31">
        <v>6</v>
      </c>
    </row>
    <row r="846" spans="1:11" s="12" customFormat="1" ht="22.5">
      <c r="A846" s="18" t="s">
        <v>269</v>
      </c>
      <c r="B846" s="139">
        <v>86915</v>
      </c>
      <c r="C846" s="346" t="s">
        <v>9</v>
      </c>
      <c r="D846" s="372" t="s">
        <v>1288</v>
      </c>
      <c r="E846" s="368" t="s">
        <v>126</v>
      </c>
      <c r="F846" s="142"/>
      <c r="G846" s="142"/>
      <c r="H846" s="142"/>
      <c r="I846" s="142"/>
      <c r="J846" s="142"/>
      <c r="K846" s="31">
        <v>6</v>
      </c>
    </row>
    <row r="847" spans="1:11" s="12" customFormat="1" ht="22.5">
      <c r="A847" s="18" t="s">
        <v>270</v>
      </c>
      <c r="B847" s="139">
        <v>95544</v>
      </c>
      <c r="C847" s="346" t="s">
        <v>9</v>
      </c>
      <c r="D847" s="373" t="s">
        <v>1280</v>
      </c>
      <c r="E847" s="368" t="s">
        <v>126</v>
      </c>
      <c r="F847" s="142"/>
      <c r="G847" s="142"/>
      <c r="H847" s="142"/>
      <c r="I847" s="142"/>
      <c r="J847" s="142"/>
      <c r="K847" s="31">
        <v>8</v>
      </c>
    </row>
    <row r="848" spans="1:11" s="12" customFormat="1" ht="33.75">
      <c r="A848" s="18" t="s">
        <v>271</v>
      </c>
      <c r="B848" s="196">
        <v>100868</v>
      </c>
      <c r="C848" s="346" t="s">
        <v>9</v>
      </c>
      <c r="D848" s="372" t="s">
        <v>1281</v>
      </c>
      <c r="E848" s="368" t="s">
        <v>126</v>
      </c>
      <c r="F848" s="142"/>
      <c r="G848" s="142"/>
      <c r="H848" s="142"/>
      <c r="I848" s="142"/>
      <c r="J848" s="142"/>
      <c r="K848" s="31">
        <v>1</v>
      </c>
    </row>
    <row r="849" spans="1:11" s="12" customFormat="1" ht="33.75">
      <c r="A849" s="18" t="s">
        <v>272</v>
      </c>
      <c r="B849" s="196">
        <v>100866</v>
      </c>
      <c r="C849" s="346" t="s">
        <v>9</v>
      </c>
      <c r="D849" s="373" t="s">
        <v>1289</v>
      </c>
      <c r="E849" s="344" t="s">
        <v>1299</v>
      </c>
      <c r="F849" s="142"/>
      <c r="G849" s="142"/>
      <c r="H849" s="142"/>
      <c r="I849" s="142"/>
      <c r="J849" s="142"/>
      <c r="K849" s="31">
        <v>1</v>
      </c>
    </row>
    <row r="850" spans="1:11" s="12" customFormat="1">
      <c r="A850" s="18" t="s">
        <v>273</v>
      </c>
      <c r="B850" s="149" t="s">
        <v>436</v>
      </c>
      <c r="C850" s="337" t="s">
        <v>133</v>
      </c>
      <c r="D850" s="374" t="s">
        <v>1282</v>
      </c>
      <c r="E850" s="368" t="s">
        <v>126</v>
      </c>
      <c r="F850" s="142"/>
      <c r="G850" s="142"/>
      <c r="H850" s="142"/>
      <c r="I850" s="142"/>
      <c r="J850" s="142"/>
      <c r="K850" s="31">
        <v>8</v>
      </c>
    </row>
    <row r="851" spans="1:11" s="12" customFormat="1" ht="22.5">
      <c r="A851" s="18" t="s">
        <v>274</v>
      </c>
      <c r="B851" s="139">
        <v>95545</v>
      </c>
      <c r="C851" s="366" t="s">
        <v>9</v>
      </c>
      <c r="D851" s="364" t="s">
        <v>1290</v>
      </c>
      <c r="E851" s="368" t="s">
        <v>126</v>
      </c>
      <c r="F851" s="142"/>
      <c r="G851" s="142"/>
      <c r="H851" s="142"/>
      <c r="I851" s="142"/>
      <c r="J851" s="142"/>
      <c r="K851" s="31">
        <v>4</v>
      </c>
    </row>
    <row r="852" spans="1:11" s="12" customFormat="1" ht="22.5">
      <c r="A852" s="18" t="s">
        <v>275</v>
      </c>
      <c r="B852" s="139">
        <v>86872</v>
      </c>
      <c r="C852" s="346" t="s">
        <v>9</v>
      </c>
      <c r="D852" s="375" t="s">
        <v>1283</v>
      </c>
      <c r="E852" s="368" t="s">
        <v>126</v>
      </c>
      <c r="F852" s="142"/>
      <c r="G852" s="142"/>
      <c r="H852" s="142"/>
      <c r="I852" s="142"/>
      <c r="J852" s="142"/>
      <c r="K852" s="31">
        <v>2</v>
      </c>
    </row>
    <row r="853" spans="1:11" s="12" customFormat="1" ht="33.75">
      <c r="A853" s="18" t="s">
        <v>276</v>
      </c>
      <c r="B853" s="139">
        <v>86910</v>
      </c>
      <c r="C853" s="346" t="s">
        <v>9</v>
      </c>
      <c r="D853" s="372" t="s">
        <v>1291</v>
      </c>
      <c r="E853" s="368" t="s">
        <v>126</v>
      </c>
      <c r="F853" s="142"/>
      <c r="G853" s="142"/>
      <c r="H853" s="142"/>
      <c r="I853" s="142"/>
      <c r="J853" s="142"/>
      <c r="K853" s="31">
        <v>6</v>
      </c>
    </row>
    <row r="854" spans="1:11" s="12" customFormat="1" ht="22.5">
      <c r="A854" s="18" t="s">
        <v>277</v>
      </c>
      <c r="B854" s="196">
        <v>86900</v>
      </c>
      <c r="C854" s="346" t="s">
        <v>9</v>
      </c>
      <c r="D854" s="373" t="s">
        <v>1284</v>
      </c>
      <c r="E854" s="368" t="s">
        <v>126</v>
      </c>
      <c r="F854" s="142"/>
      <c r="G854" s="142"/>
      <c r="H854" s="142"/>
      <c r="I854" s="142"/>
      <c r="J854" s="142"/>
      <c r="K854" s="31">
        <v>4</v>
      </c>
    </row>
    <row r="855" spans="1:11" s="12" customFormat="1" ht="22.5">
      <c r="A855" s="18" t="s">
        <v>278</v>
      </c>
      <c r="B855" s="139">
        <v>86913</v>
      </c>
      <c r="C855" s="346" t="s">
        <v>9</v>
      </c>
      <c r="D855" s="374" t="s">
        <v>1292</v>
      </c>
      <c r="E855" s="368" t="s">
        <v>126</v>
      </c>
      <c r="F855" s="207"/>
      <c r="G855" s="142"/>
      <c r="H855" s="142"/>
      <c r="I855" s="142"/>
      <c r="J855" s="142"/>
      <c r="K855" s="31">
        <v>2</v>
      </c>
    </row>
    <row r="856" spans="1:11" s="12" customFormat="1" ht="22.5">
      <c r="A856" s="18" t="s">
        <v>469</v>
      </c>
      <c r="B856" s="149" t="s">
        <v>471</v>
      </c>
      <c r="C856" s="338" t="s">
        <v>133</v>
      </c>
      <c r="D856" s="373" t="s">
        <v>881</v>
      </c>
      <c r="E856" s="368" t="s">
        <v>126</v>
      </c>
      <c r="F856" s="142"/>
      <c r="G856" s="142"/>
      <c r="H856" s="142"/>
      <c r="I856" s="142"/>
      <c r="J856" s="142"/>
      <c r="K856" s="31">
        <v>2</v>
      </c>
    </row>
    <row r="857" spans="1:11" s="12" customFormat="1" ht="22.5">
      <c r="A857" s="18" t="s">
        <v>470</v>
      </c>
      <c r="B857" s="149">
        <v>100860</v>
      </c>
      <c r="C857" s="338" t="s">
        <v>9</v>
      </c>
      <c r="D857" s="373" t="s">
        <v>1285</v>
      </c>
      <c r="E857" s="368" t="s">
        <v>126</v>
      </c>
      <c r="F857" s="142"/>
      <c r="G857" s="142"/>
      <c r="H857" s="142"/>
      <c r="I857" s="142"/>
      <c r="J857" s="142"/>
      <c r="K857" s="31">
        <v>12</v>
      </c>
    </row>
    <row r="858" spans="1:11" s="12" customFormat="1">
      <c r="A858" s="18"/>
      <c r="B858" s="140"/>
      <c r="C858" s="346"/>
      <c r="D858" s="364"/>
      <c r="E858" s="365"/>
      <c r="F858" s="142"/>
      <c r="G858" s="142"/>
      <c r="H858" s="142"/>
      <c r="I858" s="142"/>
      <c r="J858" s="142"/>
      <c r="K858" s="30"/>
    </row>
    <row r="859" spans="1:11" s="12" customFormat="1">
      <c r="A859" s="114" t="s">
        <v>90</v>
      </c>
      <c r="B859" s="208"/>
      <c r="C859" s="347"/>
      <c r="D859" s="209" t="s">
        <v>94</v>
      </c>
      <c r="E859" s="349"/>
      <c r="F859" s="200"/>
      <c r="G859" s="200"/>
      <c r="H859" s="200"/>
      <c r="I859" s="200"/>
      <c r="J859" s="200"/>
      <c r="K859" s="118"/>
    </row>
    <row r="860" spans="1:11" s="12" customFormat="1">
      <c r="A860" s="22"/>
      <c r="B860" s="210"/>
      <c r="C860" s="348"/>
      <c r="D860" s="355" t="s">
        <v>151</v>
      </c>
      <c r="E860" s="350"/>
      <c r="F860" s="188"/>
      <c r="G860" s="188"/>
      <c r="H860" s="188"/>
      <c r="I860" s="188"/>
      <c r="J860" s="188"/>
      <c r="K860" s="21"/>
    </row>
    <row r="861" spans="1:11" s="12" customFormat="1" ht="33.75">
      <c r="A861" s="18" t="s">
        <v>91</v>
      </c>
      <c r="B861" s="206">
        <v>83397</v>
      </c>
      <c r="C861" s="340" t="s">
        <v>9</v>
      </c>
      <c r="D861" s="356" t="s">
        <v>1251</v>
      </c>
      <c r="E861" s="343" t="s">
        <v>126</v>
      </c>
      <c r="F861" s="142"/>
      <c r="G861" s="142"/>
      <c r="H861" s="142"/>
      <c r="I861" s="142"/>
      <c r="J861" s="142"/>
      <c r="K861" s="21">
        <v>1</v>
      </c>
    </row>
    <row r="862" spans="1:11" s="12" customFormat="1" ht="33.75">
      <c r="A862" s="18" t="s">
        <v>92</v>
      </c>
      <c r="B862" s="149">
        <v>101506</v>
      </c>
      <c r="C862" s="340" t="s">
        <v>9</v>
      </c>
      <c r="D862" s="356" t="s">
        <v>1252</v>
      </c>
      <c r="E862" s="343" t="s">
        <v>126</v>
      </c>
      <c r="F862" s="142"/>
      <c r="G862" s="142"/>
      <c r="H862" s="142"/>
      <c r="I862" s="142"/>
      <c r="J862" s="142"/>
      <c r="K862" s="129">
        <v>1</v>
      </c>
    </row>
    <row r="863" spans="1:11" s="12" customFormat="1" ht="33.75">
      <c r="A863" s="18" t="s">
        <v>412</v>
      </c>
      <c r="B863" s="149" t="s">
        <v>472</v>
      </c>
      <c r="C863" s="340" t="s">
        <v>11</v>
      </c>
      <c r="D863" s="357" t="s">
        <v>1253</v>
      </c>
      <c r="E863" s="343" t="s">
        <v>126</v>
      </c>
      <c r="F863" s="142"/>
      <c r="G863" s="142"/>
      <c r="H863" s="142"/>
      <c r="I863" s="142"/>
      <c r="J863" s="142"/>
      <c r="K863" s="129">
        <v>1</v>
      </c>
    </row>
    <row r="864" spans="1:11" s="12" customFormat="1">
      <c r="A864" s="18"/>
      <c r="B864" s="206"/>
      <c r="C864" s="341"/>
      <c r="D864" s="358" t="s">
        <v>95</v>
      </c>
      <c r="E864" s="330"/>
      <c r="F864" s="142"/>
      <c r="G864" s="142"/>
      <c r="H864" s="142"/>
      <c r="I864" s="142"/>
      <c r="J864" s="142"/>
      <c r="K864" s="32"/>
    </row>
    <row r="865" spans="1:11" s="12" customFormat="1" ht="33.75">
      <c r="A865" s="18">
        <v>16.399999999999999</v>
      </c>
      <c r="B865" s="186" t="s">
        <v>478</v>
      </c>
      <c r="C865" s="338" t="s">
        <v>133</v>
      </c>
      <c r="D865" s="359" t="s">
        <v>897</v>
      </c>
      <c r="E865" s="344" t="s">
        <v>126</v>
      </c>
      <c r="F865" s="142"/>
      <c r="G865" s="142"/>
      <c r="H865" s="142"/>
      <c r="I865" s="142"/>
      <c r="J865" s="142"/>
      <c r="K865" s="31">
        <v>5</v>
      </c>
    </row>
    <row r="866" spans="1:11" s="12" customFormat="1" ht="22.5">
      <c r="A866" s="18">
        <v>16.5</v>
      </c>
      <c r="B866" s="151">
        <v>101890</v>
      </c>
      <c r="C866" s="342" t="s">
        <v>9</v>
      </c>
      <c r="D866" s="357" t="s">
        <v>900</v>
      </c>
      <c r="E866" s="343" t="s">
        <v>126</v>
      </c>
      <c r="F866" s="142"/>
      <c r="G866" s="142"/>
      <c r="H866" s="142"/>
      <c r="I866" s="142"/>
      <c r="J866" s="142"/>
      <c r="K866" s="31">
        <v>126</v>
      </c>
    </row>
    <row r="867" spans="1:11" s="12" customFormat="1" ht="22.5">
      <c r="A867" s="18">
        <v>16.600000000000001</v>
      </c>
      <c r="B867" s="151">
        <v>93673</v>
      </c>
      <c r="C867" s="342" t="s">
        <v>9</v>
      </c>
      <c r="D867" s="360" t="s">
        <v>1254</v>
      </c>
      <c r="E867" s="343" t="s">
        <v>126</v>
      </c>
      <c r="F867" s="142"/>
      <c r="G867" s="142"/>
      <c r="H867" s="142"/>
      <c r="I867" s="142"/>
      <c r="J867" s="142"/>
      <c r="K867" s="31">
        <v>5</v>
      </c>
    </row>
    <row r="868" spans="1:11" s="12" customFormat="1" ht="22.5">
      <c r="A868" s="18">
        <v>16.7</v>
      </c>
      <c r="B868" s="151">
        <v>93671</v>
      </c>
      <c r="C868" s="342" t="s">
        <v>9</v>
      </c>
      <c r="D868" s="357" t="s">
        <v>1255</v>
      </c>
      <c r="E868" s="343" t="s">
        <v>126</v>
      </c>
      <c r="F868" s="142"/>
      <c r="G868" s="142"/>
      <c r="H868" s="142"/>
      <c r="I868" s="142"/>
      <c r="J868" s="142"/>
      <c r="K868" s="31">
        <v>5</v>
      </c>
    </row>
    <row r="869" spans="1:11" s="12" customFormat="1">
      <c r="D869" s="358" t="s">
        <v>105</v>
      </c>
      <c r="E869" s="343"/>
      <c r="F869" s="142"/>
      <c r="G869" s="142"/>
      <c r="H869" s="142"/>
      <c r="I869" s="142"/>
      <c r="J869" s="142"/>
      <c r="K869" s="31"/>
    </row>
    <row r="870" spans="1:11" s="12" customFormat="1" ht="33.75">
      <c r="A870" s="18" t="s">
        <v>413</v>
      </c>
      <c r="B870" s="151">
        <v>91834</v>
      </c>
      <c r="C870" s="345" t="s">
        <v>9</v>
      </c>
      <c r="D870" s="357" t="s">
        <v>1256</v>
      </c>
      <c r="E870" s="344" t="s">
        <v>210</v>
      </c>
      <c r="F870" s="142"/>
      <c r="G870" s="142"/>
      <c r="H870" s="142"/>
      <c r="I870" s="142"/>
      <c r="J870" s="142"/>
      <c r="K870" s="31">
        <v>400</v>
      </c>
    </row>
    <row r="871" spans="1:11" s="12" customFormat="1" ht="33.75">
      <c r="A871" s="18" t="s">
        <v>414</v>
      </c>
      <c r="B871" s="151">
        <v>91854</v>
      </c>
      <c r="C871" s="342" t="s">
        <v>9</v>
      </c>
      <c r="D871" s="360" t="s">
        <v>1257</v>
      </c>
      <c r="E871" s="344" t="s">
        <v>210</v>
      </c>
      <c r="F871" s="142"/>
      <c r="G871" s="142"/>
      <c r="H871" s="142"/>
      <c r="I871" s="142"/>
      <c r="J871" s="142"/>
      <c r="K871" s="31">
        <v>500</v>
      </c>
    </row>
    <row r="872" spans="1:11" s="12" customFormat="1" ht="33.75">
      <c r="A872" s="18" t="s">
        <v>415</v>
      </c>
      <c r="B872" s="151">
        <v>91856</v>
      </c>
      <c r="C872" s="342" t="s">
        <v>9</v>
      </c>
      <c r="D872" s="357" t="s">
        <v>1258</v>
      </c>
      <c r="E872" s="344" t="s">
        <v>210</v>
      </c>
      <c r="F872" s="142"/>
      <c r="G872" s="142"/>
      <c r="H872" s="142"/>
      <c r="I872" s="142"/>
      <c r="J872" s="142"/>
      <c r="K872" s="31">
        <v>400</v>
      </c>
    </row>
    <row r="873" spans="1:11" s="12" customFormat="1" ht="33.75">
      <c r="A873" s="18" t="s">
        <v>416</v>
      </c>
      <c r="B873" s="151">
        <v>91864</v>
      </c>
      <c r="C873" s="342" t="s">
        <v>9</v>
      </c>
      <c r="D873" s="356" t="s">
        <v>1259</v>
      </c>
      <c r="E873" s="344" t="s">
        <v>210</v>
      </c>
      <c r="F873" s="142"/>
      <c r="G873" s="142"/>
      <c r="H873" s="142"/>
      <c r="I873" s="142"/>
      <c r="J873" s="142"/>
      <c r="K873" s="31">
        <v>300</v>
      </c>
    </row>
    <row r="874" spans="1:11" s="12" customFormat="1" ht="33.75">
      <c r="A874" s="18" t="s">
        <v>417</v>
      </c>
      <c r="B874" s="151">
        <v>91872</v>
      </c>
      <c r="C874" s="342" t="s">
        <v>9</v>
      </c>
      <c r="D874" s="356" t="s">
        <v>1260</v>
      </c>
      <c r="E874" s="344" t="s">
        <v>210</v>
      </c>
      <c r="F874" s="142"/>
      <c r="G874" s="142"/>
      <c r="H874" s="142"/>
      <c r="I874" s="142"/>
      <c r="J874" s="142"/>
      <c r="K874" s="31">
        <v>250</v>
      </c>
    </row>
    <row r="875" spans="1:11" s="12" customFormat="1" ht="22.5">
      <c r="A875" s="18" t="s">
        <v>418</v>
      </c>
      <c r="B875" s="151">
        <v>93009</v>
      </c>
      <c r="C875" s="342" t="s">
        <v>9</v>
      </c>
      <c r="D875" s="356" t="s">
        <v>1261</v>
      </c>
      <c r="E875" s="344" t="s">
        <v>210</v>
      </c>
      <c r="F875" s="142"/>
      <c r="G875" s="142"/>
      <c r="H875" s="142"/>
      <c r="I875" s="142"/>
      <c r="J875" s="142"/>
      <c r="K875" s="31">
        <v>180</v>
      </c>
    </row>
    <row r="876" spans="1:11" s="12" customFormat="1">
      <c r="A876" s="18" t="s">
        <v>419</v>
      </c>
      <c r="B876" s="151">
        <v>83446</v>
      </c>
      <c r="C876" s="342" t="s">
        <v>9</v>
      </c>
      <c r="D876" s="357" t="s">
        <v>1262</v>
      </c>
      <c r="E876" s="343" t="s">
        <v>126</v>
      </c>
      <c r="F876" s="142"/>
      <c r="G876" s="142"/>
      <c r="H876" s="142"/>
      <c r="I876" s="142"/>
      <c r="J876" s="142"/>
      <c r="K876" s="31">
        <v>10</v>
      </c>
    </row>
    <row r="877" spans="1:11" s="12" customFormat="1">
      <c r="D877" s="361" t="s">
        <v>106</v>
      </c>
      <c r="E877" s="187"/>
      <c r="F877" s="187"/>
      <c r="G877" s="187"/>
      <c r="H877" s="187"/>
      <c r="I877" s="187"/>
      <c r="J877" s="187"/>
      <c r="K877" s="187"/>
    </row>
    <row r="878" spans="1:11" s="12" customFormat="1" ht="33.75">
      <c r="A878" s="18" t="s">
        <v>420</v>
      </c>
      <c r="B878" s="151">
        <v>91926</v>
      </c>
      <c r="C878" s="345" t="s">
        <v>9</v>
      </c>
      <c r="D878" s="357" t="s">
        <v>1263</v>
      </c>
      <c r="E878" s="344" t="s">
        <v>210</v>
      </c>
      <c r="F878" s="142"/>
      <c r="G878" s="142"/>
      <c r="H878" s="142"/>
      <c r="I878" s="142"/>
      <c r="J878" s="142"/>
      <c r="K878" s="31">
        <v>2200</v>
      </c>
    </row>
    <row r="879" spans="1:11" s="12" customFormat="1" ht="33.75">
      <c r="A879" s="18" t="s">
        <v>421</v>
      </c>
      <c r="B879" s="149">
        <v>91928</v>
      </c>
      <c r="C879" s="351" t="s">
        <v>9</v>
      </c>
      <c r="D879" s="357" t="s">
        <v>1264</v>
      </c>
      <c r="E879" s="344" t="s">
        <v>210</v>
      </c>
      <c r="F879" s="142"/>
      <c r="G879" s="142"/>
      <c r="H879" s="142"/>
      <c r="I879" s="142"/>
      <c r="J879" s="142"/>
      <c r="K879" s="117">
        <v>1450</v>
      </c>
    </row>
    <row r="880" spans="1:11" s="12" customFormat="1" ht="33.75">
      <c r="A880" s="18" t="s">
        <v>422</v>
      </c>
      <c r="B880" s="149">
        <v>91932</v>
      </c>
      <c r="C880" s="351" t="s">
        <v>9</v>
      </c>
      <c r="D880" s="359" t="s">
        <v>1265</v>
      </c>
      <c r="E880" s="344" t="s">
        <v>210</v>
      </c>
      <c r="F880" s="142"/>
      <c r="G880" s="142"/>
      <c r="H880" s="142"/>
      <c r="I880" s="142"/>
      <c r="J880" s="142"/>
      <c r="K880" s="129">
        <v>700</v>
      </c>
    </row>
    <row r="881" spans="1:11" s="12" customFormat="1" ht="33.75">
      <c r="A881" s="18" t="s">
        <v>423</v>
      </c>
      <c r="B881" s="149">
        <v>91935</v>
      </c>
      <c r="C881" s="351" t="s">
        <v>9</v>
      </c>
      <c r="D881" s="357" t="s">
        <v>1266</v>
      </c>
      <c r="E881" s="344" t="s">
        <v>210</v>
      </c>
      <c r="F881" s="142"/>
      <c r="G881" s="142"/>
      <c r="H881" s="142"/>
      <c r="I881" s="142"/>
      <c r="J881" s="142"/>
      <c r="K881" s="129">
        <v>450</v>
      </c>
    </row>
    <row r="882" spans="1:11" s="12" customFormat="1">
      <c r="D882" s="361" t="s">
        <v>107</v>
      </c>
      <c r="E882" s="187"/>
      <c r="F882" s="187"/>
      <c r="G882" s="187"/>
      <c r="H882" s="187"/>
      <c r="I882" s="187"/>
      <c r="J882" s="187"/>
      <c r="K882" s="187"/>
    </row>
    <row r="883" spans="1:11" s="12" customFormat="1" ht="22.5">
      <c r="A883" s="18" t="s">
        <v>424</v>
      </c>
      <c r="B883" s="149">
        <v>91991</v>
      </c>
      <c r="C883" s="351" t="s">
        <v>9</v>
      </c>
      <c r="D883" s="357" t="s">
        <v>1267</v>
      </c>
      <c r="E883" s="343" t="s">
        <v>126</v>
      </c>
      <c r="F883" s="142"/>
      <c r="G883" s="142"/>
      <c r="H883" s="142"/>
      <c r="I883" s="142"/>
      <c r="J883" s="142"/>
      <c r="K883" s="129">
        <v>70</v>
      </c>
    </row>
    <row r="884" spans="1:11" s="12" customFormat="1" ht="22.5">
      <c r="A884" s="18" t="s">
        <v>425</v>
      </c>
      <c r="B884" s="149">
        <v>91997</v>
      </c>
      <c r="C884" s="351" t="s">
        <v>9</v>
      </c>
      <c r="D884" s="357" t="s">
        <v>1268</v>
      </c>
      <c r="E884" s="343" t="s">
        <v>126</v>
      </c>
      <c r="F884" s="142"/>
      <c r="G884" s="142"/>
      <c r="H884" s="142"/>
      <c r="I884" s="142"/>
      <c r="J884" s="142"/>
      <c r="K884" s="129">
        <v>128</v>
      </c>
    </row>
    <row r="885" spans="1:11" s="12" customFormat="1" ht="22.5">
      <c r="A885" s="18" t="s">
        <v>426</v>
      </c>
      <c r="B885" s="149">
        <v>91998</v>
      </c>
      <c r="C885" s="353" t="s">
        <v>9</v>
      </c>
      <c r="D885" s="360" t="s">
        <v>1269</v>
      </c>
      <c r="E885" s="343" t="s">
        <v>126</v>
      </c>
      <c r="F885" s="142"/>
      <c r="G885" s="142"/>
      <c r="H885" s="142"/>
      <c r="I885" s="142"/>
      <c r="J885" s="142"/>
      <c r="K885" s="129">
        <v>10</v>
      </c>
    </row>
    <row r="886" spans="1:11" s="12" customFormat="1" ht="33.75">
      <c r="A886" s="18" t="s">
        <v>427</v>
      </c>
      <c r="B886" s="149">
        <v>91957</v>
      </c>
      <c r="C886" s="353" t="s">
        <v>9</v>
      </c>
      <c r="D886" s="360" t="s">
        <v>1270</v>
      </c>
      <c r="E886" s="343" t="s">
        <v>126</v>
      </c>
      <c r="F886" s="142"/>
      <c r="G886" s="142"/>
      <c r="H886" s="142"/>
      <c r="I886" s="142"/>
      <c r="J886" s="142"/>
      <c r="K886" s="129">
        <v>14</v>
      </c>
    </row>
    <row r="887" spans="1:11" s="12" customFormat="1" ht="22.5">
      <c r="A887" s="18" t="s">
        <v>428</v>
      </c>
      <c r="B887" s="149">
        <v>91959</v>
      </c>
      <c r="C887" s="351" t="s">
        <v>9</v>
      </c>
      <c r="D887" s="357" t="s">
        <v>1271</v>
      </c>
      <c r="E887" s="343" t="s">
        <v>126</v>
      </c>
      <c r="F887" s="142"/>
      <c r="G887" s="142"/>
      <c r="H887" s="142"/>
      <c r="I887" s="142"/>
      <c r="J887" s="142"/>
      <c r="K887" s="129">
        <v>30</v>
      </c>
    </row>
    <row r="888" spans="1:11" s="12" customFormat="1" ht="22.5">
      <c r="A888" s="18" t="s">
        <v>429</v>
      </c>
      <c r="B888" s="149">
        <v>91967</v>
      </c>
      <c r="C888" s="354" t="s">
        <v>9</v>
      </c>
      <c r="D888" s="357" t="s">
        <v>1272</v>
      </c>
      <c r="E888" s="343" t="s">
        <v>126</v>
      </c>
      <c r="F888" s="142"/>
      <c r="G888" s="142"/>
      <c r="H888" s="142"/>
      <c r="I888" s="142"/>
      <c r="J888" s="142"/>
      <c r="K888" s="129">
        <v>6</v>
      </c>
    </row>
    <row r="889" spans="1:11" s="12" customFormat="1" ht="33.75">
      <c r="A889" s="18" t="s">
        <v>430</v>
      </c>
      <c r="B889" s="149" t="s">
        <v>152</v>
      </c>
      <c r="C889" s="351" t="s">
        <v>11</v>
      </c>
      <c r="D889" s="359" t="s">
        <v>1273</v>
      </c>
      <c r="E889" s="343" t="s">
        <v>126</v>
      </c>
      <c r="F889" s="142"/>
      <c r="G889" s="142"/>
      <c r="H889" s="142"/>
      <c r="I889" s="142"/>
      <c r="J889" s="142"/>
      <c r="K889" s="129">
        <v>8</v>
      </c>
    </row>
    <row r="890" spans="1:11" s="12" customFormat="1" ht="33.75">
      <c r="A890" s="18" t="s">
        <v>431</v>
      </c>
      <c r="B890" s="363">
        <v>97585</v>
      </c>
      <c r="C890" s="354" t="s">
        <v>9</v>
      </c>
      <c r="D890" s="357" t="s">
        <v>1274</v>
      </c>
      <c r="E890" s="343" t="s">
        <v>126</v>
      </c>
      <c r="F890" s="142"/>
      <c r="G890" s="142"/>
      <c r="H890" s="142"/>
      <c r="I890" s="142"/>
      <c r="J890" s="142"/>
      <c r="K890" s="129">
        <v>212</v>
      </c>
    </row>
    <row r="891" spans="1:11" s="12" customFormat="1" ht="22.5">
      <c r="A891" s="18" t="s">
        <v>432</v>
      </c>
      <c r="B891" s="149">
        <v>97601</v>
      </c>
      <c r="C891" s="352" t="s">
        <v>9</v>
      </c>
      <c r="D891" s="362" t="s">
        <v>1275</v>
      </c>
      <c r="E891" s="343" t="s">
        <v>126</v>
      </c>
      <c r="F891" s="187"/>
      <c r="G891" s="187"/>
      <c r="H891" s="187"/>
      <c r="I891" s="187"/>
      <c r="J891" s="187"/>
      <c r="K891" s="129">
        <v>2</v>
      </c>
    </row>
    <row r="892" spans="1:11" s="12" customFormat="1">
      <c r="A892" s="18"/>
      <c r="B892" s="168"/>
      <c r="C892" s="168"/>
      <c r="D892" s="203"/>
      <c r="E892" s="168"/>
      <c r="F892" s="142"/>
      <c r="G892" s="142"/>
      <c r="H892" s="142"/>
      <c r="I892" s="142"/>
      <c r="J892" s="142"/>
      <c r="K892" s="33"/>
    </row>
    <row r="893" spans="1:11" s="12" customFormat="1" ht="22.5">
      <c r="A893" s="114" t="s">
        <v>93</v>
      </c>
      <c r="B893" s="197"/>
      <c r="C893" s="197"/>
      <c r="D893" s="209" t="s">
        <v>109</v>
      </c>
      <c r="E893" s="197"/>
      <c r="F893" s="200"/>
      <c r="G893" s="200"/>
      <c r="H893" s="200"/>
      <c r="I893" s="200"/>
      <c r="J893" s="200"/>
      <c r="K893" s="121"/>
    </row>
    <row r="894" spans="1:11" s="12" customFormat="1" ht="22.5">
      <c r="A894" s="18" t="s">
        <v>96</v>
      </c>
      <c r="B894" s="139" t="s">
        <v>119</v>
      </c>
      <c r="C894" s="167" t="s">
        <v>11</v>
      </c>
      <c r="D894" s="147" t="s">
        <v>1242</v>
      </c>
      <c r="E894" s="328" t="s">
        <v>126</v>
      </c>
      <c r="F894" s="142"/>
      <c r="G894" s="142"/>
      <c r="H894" s="142"/>
      <c r="I894" s="142"/>
      <c r="J894" s="142"/>
      <c r="K894" s="117">
        <v>1</v>
      </c>
    </row>
    <row r="895" spans="1:11" s="12" customFormat="1">
      <c r="A895" s="18" t="s">
        <v>97</v>
      </c>
      <c r="B895" s="161" t="s">
        <v>402</v>
      </c>
      <c r="C895" s="329" t="s">
        <v>136</v>
      </c>
      <c r="D895" s="335" t="s">
        <v>1243</v>
      </c>
      <c r="E895" s="328" t="s">
        <v>209</v>
      </c>
      <c r="F895" s="142"/>
      <c r="G895" s="142"/>
      <c r="H895" s="142"/>
      <c r="I895" s="142"/>
      <c r="J895" s="142"/>
      <c r="K895" s="117">
        <v>44</v>
      </c>
    </row>
    <row r="896" spans="1:11" s="12" customFormat="1" ht="22.5">
      <c r="A896" s="18" t="s">
        <v>98</v>
      </c>
      <c r="B896" s="212" t="s">
        <v>403</v>
      </c>
      <c r="C896" s="333" t="s">
        <v>136</v>
      </c>
      <c r="D896" s="334" t="s">
        <v>1244</v>
      </c>
      <c r="E896" s="328" t="s">
        <v>126</v>
      </c>
      <c r="F896" s="142"/>
      <c r="G896" s="142"/>
      <c r="H896" s="142"/>
      <c r="I896" s="142"/>
      <c r="J896" s="142"/>
      <c r="K896" s="117">
        <v>57</v>
      </c>
    </row>
    <row r="897" spans="1:11" s="12" customFormat="1" ht="22.5">
      <c r="A897" s="18" t="s">
        <v>99</v>
      </c>
      <c r="B897" s="139">
        <v>72263</v>
      </c>
      <c r="C897" s="329" t="s">
        <v>9</v>
      </c>
      <c r="D897" s="335" t="s">
        <v>1245</v>
      </c>
      <c r="E897" s="328" t="s">
        <v>126</v>
      </c>
      <c r="F897" s="142"/>
      <c r="G897" s="142"/>
      <c r="H897" s="142"/>
      <c r="I897" s="142"/>
      <c r="J897" s="142"/>
      <c r="K897" s="117">
        <v>57</v>
      </c>
    </row>
    <row r="898" spans="1:11" s="12" customFormat="1" ht="22.5">
      <c r="A898" s="18" t="s">
        <v>100</v>
      </c>
      <c r="B898" s="139">
        <v>96985</v>
      </c>
      <c r="C898" s="329" t="s">
        <v>9</v>
      </c>
      <c r="D898" s="335" t="s">
        <v>1246</v>
      </c>
      <c r="E898" s="328" t="s">
        <v>126</v>
      </c>
      <c r="F898" s="142"/>
      <c r="G898" s="142"/>
      <c r="H898" s="142"/>
      <c r="I898" s="142"/>
      <c r="J898" s="142"/>
      <c r="K898" s="117">
        <v>15</v>
      </c>
    </row>
    <row r="899" spans="1:11" s="12" customFormat="1" ht="22.5">
      <c r="A899" s="18" t="s">
        <v>101</v>
      </c>
      <c r="B899" s="139">
        <v>96973</v>
      </c>
      <c r="C899" s="139" t="s">
        <v>9</v>
      </c>
      <c r="D899" s="339" t="s">
        <v>1247</v>
      </c>
      <c r="E899" s="328" t="s">
        <v>210</v>
      </c>
      <c r="F899" s="142"/>
      <c r="G899" s="142"/>
      <c r="H899" s="142"/>
      <c r="I899" s="142"/>
      <c r="J899" s="142"/>
      <c r="K899" s="117">
        <v>200</v>
      </c>
    </row>
    <row r="900" spans="1:11" s="12" customFormat="1" ht="22.5">
      <c r="A900" s="18" t="s">
        <v>102</v>
      </c>
      <c r="B900" s="139">
        <v>96974</v>
      </c>
      <c r="C900" s="336" t="s">
        <v>9</v>
      </c>
      <c r="D900" s="335" t="s">
        <v>1248</v>
      </c>
      <c r="E900" s="328" t="s">
        <v>210</v>
      </c>
      <c r="F900" s="142"/>
      <c r="G900" s="142"/>
      <c r="H900" s="142"/>
      <c r="I900" s="142"/>
      <c r="J900" s="142"/>
      <c r="K900" s="117">
        <v>185</v>
      </c>
    </row>
    <row r="901" spans="1:11" s="12" customFormat="1">
      <c r="A901" s="18" t="s">
        <v>103</v>
      </c>
      <c r="B901" s="186" t="s">
        <v>437</v>
      </c>
      <c r="C901" s="337" t="s">
        <v>133</v>
      </c>
      <c r="D901" s="335" t="s">
        <v>1249</v>
      </c>
      <c r="E901" s="328" t="s">
        <v>126</v>
      </c>
      <c r="F901" s="142"/>
      <c r="G901" s="142"/>
      <c r="H901" s="142"/>
      <c r="I901" s="142"/>
      <c r="J901" s="142"/>
      <c r="K901" s="117">
        <v>12</v>
      </c>
    </row>
    <row r="902" spans="1:11" s="12" customFormat="1" ht="22.5">
      <c r="A902" s="18" t="s">
        <v>104</v>
      </c>
      <c r="B902" s="186">
        <v>98463</v>
      </c>
      <c r="C902" s="338" t="s">
        <v>9</v>
      </c>
      <c r="D902" s="335" t="s">
        <v>1250</v>
      </c>
      <c r="E902" s="328" t="s">
        <v>126</v>
      </c>
      <c r="F902" s="142"/>
      <c r="G902" s="142"/>
      <c r="H902" s="142"/>
      <c r="I902" s="142"/>
      <c r="J902" s="142"/>
      <c r="K902" s="117">
        <v>120</v>
      </c>
    </row>
    <row r="903" spans="1:11" s="12" customFormat="1">
      <c r="A903" s="18"/>
      <c r="B903" s="168"/>
      <c r="C903" s="331"/>
      <c r="D903" s="332"/>
      <c r="E903" s="168"/>
      <c r="F903" s="142"/>
      <c r="G903" s="142"/>
      <c r="H903" s="142"/>
      <c r="I903" s="142"/>
      <c r="J903" s="142"/>
      <c r="K903" s="33"/>
    </row>
    <row r="904" spans="1:11" s="12" customFormat="1">
      <c r="A904" s="114" t="s">
        <v>108</v>
      </c>
      <c r="B904" s="197"/>
      <c r="C904" s="197"/>
      <c r="D904" s="209" t="s">
        <v>115</v>
      </c>
      <c r="E904" s="197"/>
      <c r="F904" s="200"/>
      <c r="G904" s="200"/>
      <c r="H904" s="200"/>
      <c r="I904" s="200"/>
      <c r="J904" s="200"/>
      <c r="K904" s="115"/>
    </row>
    <row r="905" spans="1:11" s="12" customFormat="1">
      <c r="A905" s="18" t="s">
        <v>110</v>
      </c>
      <c r="B905" s="186" t="s">
        <v>438</v>
      </c>
      <c r="C905" s="151" t="s">
        <v>133</v>
      </c>
      <c r="D905" s="150" t="s">
        <v>1229</v>
      </c>
      <c r="E905" s="140" t="s">
        <v>126</v>
      </c>
      <c r="F905" s="142"/>
      <c r="G905" s="142"/>
      <c r="H905" s="142"/>
      <c r="I905" s="142"/>
      <c r="J905" s="142"/>
      <c r="K905" s="117">
        <v>1</v>
      </c>
    </row>
    <row r="906" spans="1:11" s="12" customFormat="1">
      <c r="A906" s="18"/>
      <c r="B906" s="139"/>
      <c r="C906" s="140"/>
      <c r="D906" s="147"/>
      <c r="E906" s="141"/>
      <c r="F906" s="142"/>
      <c r="G906" s="142"/>
      <c r="H906" s="142"/>
      <c r="I906" s="142"/>
      <c r="J906" s="142"/>
      <c r="K906" s="30"/>
    </row>
    <row r="907" spans="1:11" s="12" customFormat="1">
      <c r="A907" s="18" t="s">
        <v>111</v>
      </c>
      <c r="B907" s="139">
        <v>98505</v>
      </c>
      <c r="C907" s="140" t="s">
        <v>9</v>
      </c>
      <c r="D907" s="147" t="s">
        <v>999</v>
      </c>
      <c r="E907" s="141" t="s">
        <v>208</v>
      </c>
      <c r="F907" s="142"/>
      <c r="G907" s="142"/>
      <c r="H907" s="142"/>
      <c r="I907" s="142"/>
      <c r="J907" s="142"/>
      <c r="K907" s="31">
        <f>SUM(K908:K911)</f>
        <v>356.16819999999996</v>
      </c>
    </row>
    <row r="908" spans="1:11" s="12" customFormat="1">
      <c r="A908" s="18"/>
      <c r="B908" s="139"/>
      <c r="C908" s="140"/>
      <c r="D908" s="147" t="s">
        <v>1232</v>
      </c>
      <c r="E908" s="141"/>
      <c r="F908" s="142">
        <v>1.2</v>
      </c>
      <c r="G908" s="142">
        <v>59.6</v>
      </c>
      <c r="H908" s="142"/>
      <c r="I908" s="142"/>
      <c r="J908" s="142"/>
      <c r="K908" s="30">
        <f t="shared" ref="K908:K909" si="56">F908*G908</f>
        <v>71.52</v>
      </c>
    </row>
    <row r="909" spans="1:11" s="12" customFormat="1">
      <c r="A909" s="18"/>
      <c r="B909" s="139"/>
      <c r="C909" s="140"/>
      <c r="D909" s="147" t="s">
        <v>1233</v>
      </c>
      <c r="E909" s="141"/>
      <c r="F909" s="142">
        <v>3.99</v>
      </c>
      <c r="G909" s="142">
        <v>33.18</v>
      </c>
      <c r="H909" s="142"/>
      <c r="I909" s="142"/>
      <c r="J909" s="142"/>
      <c r="K909" s="30">
        <f t="shared" si="56"/>
        <v>132.38820000000001</v>
      </c>
    </row>
    <row r="910" spans="1:11" s="12" customFormat="1">
      <c r="A910" s="18"/>
      <c r="B910" s="139"/>
      <c r="C910" s="140"/>
      <c r="D910" s="147" t="s">
        <v>1234</v>
      </c>
      <c r="E910" s="141"/>
      <c r="F910" s="142"/>
      <c r="G910" s="142"/>
      <c r="H910" s="142"/>
      <c r="I910" s="142"/>
      <c r="J910" s="142"/>
      <c r="K910" s="30">
        <v>130.22999999999999</v>
      </c>
    </row>
    <row r="911" spans="1:11" s="12" customFormat="1">
      <c r="A911" s="18"/>
      <c r="B911" s="139"/>
      <c r="C911" s="140"/>
      <c r="D911" s="147" t="s">
        <v>1235</v>
      </c>
      <c r="E911" s="141"/>
      <c r="F911" s="142"/>
      <c r="G911" s="142"/>
      <c r="H911" s="142"/>
      <c r="I911" s="142"/>
      <c r="J911" s="142"/>
      <c r="K911" s="30">
        <v>22.03</v>
      </c>
    </row>
    <row r="912" spans="1:11" s="12" customFormat="1">
      <c r="A912" s="18"/>
      <c r="B912" s="139"/>
      <c r="C912" s="140"/>
      <c r="D912" s="147"/>
      <c r="E912" s="141"/>
      <c r="F912" s="142"/>
      <c r="G912" s="142"/>
      <c r="H912" s="142"/>
      <c r="I912" s="142"/>
      <c r="J912" s="142"/>
      <c r="K912" s="30"/>
    </row>
    <row r="913" spans="1:13" s="12" customFormat="1" ht="22.5">
      <c r="A913" s="18" t="s">
        <v>112</v>
      </c>
      <c r="B913" s="139">
        <v>98510</v>
      </c>
      <c r="C913" s="140" t="s">
        <v>9</v>
      </c>
      <c r="D913" s="147" t="s">
        <v>1002</v>
      </c>
      <c r="E913" s="141" t="s">
        <v>126</v>
      </c>
      <c r="F913" s="142"/>
      <c r="G913" s="142"/>
      <c r="H913" s="142"/>
      <c r="I913" s="142"/>
      <c r="J913" s="142"/>
      <c r="K913" s="31">
        <f>K914</f>
        <v>24</v>
      </c>
    </row>
    <row r="914" spans="1:13" s="12" customFormat="1">
      <c r="A914" s="18"/>
      <c r="B914" s="139"/>
      <c r="C914" s="140"/>
      <c r="D914" s="147" t="s">
        <v>302</v>
      </c>
      <c r="E914" s="141"/>
      <c r="F914" s="142"/>
      <c r="G914" s="142"/>
      <c r="H914" s="142"/>
      <c r="I914" s="142"/>
      <c r="J914" s="142"/>
      <c r="K914" s="30">
        <v>24</v>
      </c>
    </row>
    <row r="915" spans="1:13" s="12" customFormat="1">
      <c r="A915" s="18"/>
      <c r="B915" s="139"/>
      <c r="C915" s="140"/>
      <c r="D915" s="147"/>
      <c r="E915" s="141"/>
      <c r="F915" s="142"/>
      <c r="G915" s="142"/>
      <c r="H915" s="142"/>
      <c r="I915" s="142"/>
      <c r="J915" s="142"/>
      <c r="K915" s="30"/>
    </row>
    <row r="916" spans="1:13" s="12" customFormat="1" ht="33.75">
      <c r="A916" s="143" t="s">
        <v>113</v>
      </c>
      <c r="B916" s="144">
        <v>103246</v>
      </c>
      <c r="C916" s="140" t="s">
        <v>9</v>
      </c>
      <c r="D916" s="147" t="s">
        <v>1230</v>
      </c>
      <c r="E916" s="141" t="s">
        <v>126</v>
      </c>
      <c r="F916" s="142"/>
      <c r="G916" s="142"/>
      <c r="H916" s="142"/>
      <c r="I916" s="142"/>
      <c r="J916" s="142"/>
      <c r="K916" s="31">
        <f>SUM(K917:K923)</f>
        <v>70</v>
      </c>
    </row>
    <row r="917" spans="1:13" s="12" customFormat="1">
      <c r="A917" s="143"/>
      <c r="B917" s="144"/>
      <c r="C917" s="144"/>
      <c r="D917" s="147" t="s">
        <v>339</v>
      </c>
      <c r="E917" s="141"/>
      <c r="F917" s="142"/>
      <c r="G917" s="142"/>
      <c r="H917" s="142"/>
      <c r="I917" s="142"/>
      <c r="J917" s="142"/>
      <c r="K917" s="30">
        <v>4</v>
      </c>
    </row>
    <row r="918" spans="1:13" s="12" customFormat="1">
      <c r="A918" s="143"/>
      <c r="B918" s="144"/>
      <c r="C918" s="144"/>
      <c r="D918" s="147" t="s">
        <v>1240</v>
      </c>
      <c r="E918" s="141"/>
      <c r="F918" s="142"/>
      <c r="G918" s="142"/>
      <c r="H918" s="142"/>
      <c r="I918" s="142"/>
      <c r="J918" s="142"/>
      <c r="K918" s="30">
        <v>24</v>
      </c>
    </row>
    <row r="919" spans="1:13" s="12" customFormat="1">
      <c r="A919" s="143"/>
      <c r="B919" s="144"/>
      <c r="C919" s="144"/>
      <c r="D919" s="147" t="s">
        <v>1238</v>
      </c>
      <c r="E919" s="141"/>
      <c r="F919" s="142"/>
      <c r="G919" s="142"/>
      <c r="H919" s="142"/>
      <c r="I919" s="142"/>
      <c r="J919" s="142"/>
      <c r="K919" s="30">
        <v>16</v>
      </c>
    </row>
    <row r="920" spans="1:13" s="12" customFormat="1">
      <c r="A920" s="143"/>
      <c r="B920" s="144"/>
      <c r="C920" s="144"/>
      <c r="D920" s="147" t="s">
        <v>340</v>
      </c>
      <c r="E920" s="141"/>
      <c r="F920" s="142"/>
      <c r="G920" s="142"/>
      <c r="H920" s="142"/>
      <c r="I920" s="142"/>
      <c r="J920" s="142"/>
      <c r="K920" s="30">
        <v>8</v>
      </c>
    </row>
    <row r="921" spans="1:13" s="12" customFormat="1">
      <c r="A921" s="143"/>
      <c r="B921" s="144"/>
      <c r="C921" s="144"/>
      <c r="D921" s="147" t="s">
        <v>341</v>
      </c>
      <c r="E921" s="141"/>
      <c r="F921" s="142"/>
      <c r="G921" s="142"/>
      <c r="H921" s="142"/>
      <c r="I921" s="142"/>
      <c r="J921" s="142"/>
      <c r="K921" s="30">
        <v>12</v>
      </c>
    </row>
    <row r="922" spans="1:13" s="12" customFormat="1">
      <c r="A922" s="143"/>
      <c r="B922" s="144"/>
      <c r="C922" s="144"/>
      <c r="D922" s="147" t="s">
        <v>342</v>
      </c>
      <c r="E922" s="141"/>
      <c r="F922" s="142"/>
      <c r="G922" s="142"/>
      <c r="H922" s="142"/>
      <c r="I922" s="142"/>
      <c r="J922" s="142"/>
      <c r="K922" s="30">
        <v>3</v>
      </c>
    </row>
    <row r="923" spans="1:13" s="12" customFormat="1">
      <c r="A923" s="143"/>
      <c r="B923" s="144"/>
      <c r="C923" s="144"/>
      <c r="D923" s="147" t="s">
        <v>1239</v>
      </c>
      <c r="E923" s="141"/>
      <c r="F923" s="142"/>
      <c r="G923" s="142"/>
      <c r="H923" s="142"/>
      <c r="I923" s="142"/>
      <c r="J923" s="142"/>
      <c r="K923" s="30">
        <v>3</v>
      </c>
    </row>
    <row r="924" spans="1:13" s="12" customFormat="1">
      <c r="A924" s="143"/>
      <c r="B924" s="144"/>
      <c r="C924" s="144"/>
      <c r="D924" s="147"/>
      <c r="E924" s="141"/>
      <c r="F924" s="142"/>
      <c r="G924" s="142"/>
      <c r="H924" s="142"/>
      <c r="I924" s="142"/>
      <c r="J924" s="142"/>
      <c r="K924" s="30"/>
    </row>
    <row r="925" spans="1:13" s="12" customFormat="1" ht="22.5">
      <c r="A925" s="185" t="s">
        <v>224</v>
      </c>
      <c r="B925" s="149" t="s">
        <v>473</v>
      </c>
      <c r="C925" s="151" t="s">
        <v>133</v>
      </c>
      <c r="D925" s="147" t="s">
        <v>1231</v>
      </c>
      <c r="E925" s="141" t="s">
        <v>208</v>
      </c>
      <c r="F925" s="142"/>
      <c r="G925" s="142"/>
      <c r="H925" s="142"/>
      <c r="I925" s="142"/>
      <c r="J925" s="142"/>
      <c r="K925" s="31">
        <f>K926</f>
        <v>87.5</v>
      </c>
    </row>
    <row r="926" spans="1:13" s="12" customFormat="1">
      <c r="A926" s="143"/>
      <c r="B926" s="144"/>
      <c r="C926" s="144"/>
      <c r="D926" s="147" t="s">
        <v>1481</v>
      </c>
      <c r="E926" s="141"/>
      <c r="F926" s="142">
        <v>0.25</v>
      </c>
      <c r="G926" s="142">
        <v>350</v>
      </c>
      <c r="H926" s="142"/>
      <c r="I926" s="142"/>
      <c r="J926" s="142"/>
      <c r="K926" s="30">
        <f>F926*G926</f>
        <v>87.5</v>
      </c>
    </row>
    <row r="927" spans="1:13" s="12" customFormat="1">
      <c r="A927" s="143"/>
      <c r="B927" s="144"/>
      <c r="C927" s="144"/>
      <c r="D927" s="147"/>
      <c r="E927" s="141"/>
      <c r="F927" s="142"/>
      <c r="G927" s="142"/>
      <c r="H927" s="142"/>
      <c r="I927" s="142"/>
      <c r="J927" s="142"/>
      <c r="K927" s="30"/>
    </row>
    <row r="928" spans="1:13" s="12" customFormat="1">
      <c r="A928" s="143" t="s">
        <v>1489</v>
      </c>
      <c r="B928" s="144" t="s">
        <v>1484</v>
      </c>
      <c r="C928" s="196" t="s">
        <v>11</v>
      </c>
      <c r="D928" s="147" t="s">
        <v>1485</v>
      </c>
      <c r="E928" s="141" t="s">
        <v>210</v>
      </c>
      <c r="F928" s="142"/>
      <c r="G928" s="142"/>
      <c r="H928" s="142"/>
      <c r="I928" s="142"/>
      <c r="J928" s="142"/>
      <c r="K928" s="327">
        <f>SUM(K929:K929)</f>
        <v>93.33</v>
      </c>
      <c r="M928" s="12" t="s">
        <v>1483</v>
      </c>
    </row>
    <row r="929" spans="1:13" s="12" customFormat="1">
      <c r="A929" s="143"/>
      <c r="B929" s="144"/>
      <c r="C929" s="196"/>
      <c r="D929" s="147" t="s">
        <v>1486</v>
      </c>
      <c r="E929" s="141"/>
      <c r="F929" s="142"/>
      <c r="G929" s="142">
        <f>SUM(4.44,4,5.5,2.42,2.42,10.1,8.4,2.4,2.4,10.5,18,0.7,1.5,10.55,2.55,2.55,2.45,2.45)</f>
        <v>93.33</v>
      </c>
      <c r="H929" s="142"/>
      <c r="I929" s="142"/>
      <c r="J929" s="142"/>
      <c r="K929" s="321">
        <f>G929</f>
        <v>93.33</v>
      </c>
    </row>
    <row r="930" spans="1:13" s="12" customFormat="1">
      <c r="A930" s="143"/>
      <c r="B930" s="419"/>
      <c r="C930" s="420"/>
      <c r="D930" s="421"/>
      <c r="E930" s="422"/>
      <c r="F930" s="423"/>
      <c r="G930" s="423"/>
      <c r="H930" s="423"/>
      <c r="I930" s="423"/>
      <c r="J930" s="423"/>
      <c r="K930" s="321"/>
    </row>
    <row r="931" spans="1:13" s="12" customFormat="1">
      <c r="A931" s="143" t="s">
        <v>1490</v>
      </c>
      <c r="B931" s="419" t="s">
        <v>1487</v>
      </c>
      <c r="C931" s="420" t="s">
        <v>11</v>
      </c>
      <c r="D931" s="421" t="s">
        <v>1488</v>
      </c>
      <c r="E931" s="422" t="s">
        <v>210</v>
      </c>
      <c r="F931" s="423"/>
      <c r="G931" s="423"/>
      <c r="H931" s="423"/>
      <c r="I931" s="423"/>
      <c r="J931" s="423"/>
      <c r="K931" s="327">
        <f>SUM(K932:K932)</f>
        <v>55.819999999999993</v>
      </c>
      <c r="M931" s="12" t="s">
        <v>1482</v>
      </c>
    </row>
    <row r="932" spans="1:13" s="12" customFormat="1">
      <c r="A932" s="143"/>
      <c r="B932" s="419"/>
      <c r="C932" s="420"/>
      <c r="D932" s="147" t="s">
        <v>1486</v>
      </c>
      <c r="E932" s="141"/>
      <c r="F932" s="142"/>
      <c r="G932" s="142">
        <f>SUM(8.45,10,11.55,9.85,3.15,10.52,1.15,1.15)</f>
        <v>55.819999999999993</v>
      </c>
      <c r="H932" s="142"/>
      <c r="I932" s="142"/>
      <c r="J932" s="142"/>
      <c r="K932" s="321">
        <f>G932</f>
        <v>55.819999999999993</v>
      </c>
    </row>
    <row r="933" spans="1:13" s="12" customFormat="1">
      <c r="A933" s="143"/>
      <c r="B933" s="144"/>
      <c r="C933" s="196"/>
      <c r="D933" s="322"/>
      <c r="E933" s="141"/>
      <c r="F933" s="142"/>
      <c r="G933" s="142"/>
      <c r="H933" s="142"/>
      <c r="I933" s="142"/>
      <c r="J933" s="142"/>
      <c r="K933" s="321"/>
    </row>
    <row r="934" spans="1:13" s="12" customFormat="1" ht="33.75">
      <c r="A934" s="143" t="s">
        <v>1491</v>
      </c>
      <c r="B934" s="425" t="s">
        <v>1493</v>
      </c>
      <c r="C934" s="419" t="s">
        <v>9</v>
      </c>
      <c r="D934" s="424" t="s">
        <v>1494</v>
      </c>
      <c r="E934" s="422" t="s">
        <v>210</v>
      </c>
      <c r="F934" s="423"/>
      <c r="G934" s="423"/>
      <c r="H934" s="423"/>
      <c r="I934" s="423"/>
      <c r="J934" s="423"/>
      <c r="K934" s="327">
        <f>K935</f>
        <v>224</v>
      </c>
      <c r="M934" s="12" t="s">
        <v>1492</v>
      </c>
    </row>
    <row r="935" spans="1:13" s="12" customFormat="1" ht="22.5">
      <c r="A935" s="143"/>
      <c r="B935" s="425"/>
      <c r="C935" s="419"/>
      <c r="D935" s="424" t="s">
        <v>1495</v>
      </c>
      <c r="E935" s="422" t="s">
        <v>20</v>
      </c>
      <c r="F935" s="423"/>
      <c r="G935" s="423">
        <v>3.2</v>
      </c>
      <c r="H935" s="423"/>
      <c r="I935" s="423">
        <v>70</v>
      </c>
      <c r="J935" s="423"/>
      <c r="K935" s="321">
        <f>G935*I935</f>
        <v>224</v>
      </c>
      <c r="M935" s="12" t="e" cm="1">
        <f t="array" ref="M935">- FORNECIMENTO E INSTALAÇÃO. AF_06/2022</f>
        <v>#NAME?</v>
      </c>
    </row>
    <row r="936" spans="1:13" s="12" customFormat="1">
      <c r="A936" s="143"/>
      <c r="B936" s="425"/>
      <c r="C936" s="419"/>
      <c r="D936" s="424"/>
      <c r="E936" s="422"/>
      <c r="F936" s="423"/>
      <c r="G936" s="423"/>
      <c r="H936" s="423"/>
      <c r="I936" s="423"/>
      <c r="J936" s="423"/>
      <c r="K936" s="321"/>
    </row>
    <row r="937" spans="1:13" s="12" customFormat="1" ht="22.5">
      <c r="A937" s="143" t="s">
        <v>1496</v>
      </c>
      <c r="B937" s="425" t="s">
        <v>1498</v>
      </c>
      <c r="C937" s="419" t="s">
        <v>9</v>
      </c>
      <c r="D937" s="424" t="s">
        <v>1499</v>
      </c>
      <c r="E937" s="422" t="s">
        <v>210</v>
      </c>
      <c r="F937" s="423"/>
      <c r="G937" s="423"/>
      <c r="H937" s="423"/>
      <c r="I937" s="423"/>
      <c r="J937" s="423"/>
      <c r="K937" s="327">
        <f>G938</f>
        <v>110</v>
      </c>
      <c r="M937" s="12" t="s">
        <v>1497</v>
      </c>
    </row>
    <row r="938" spans="1:13" s="12" customFormat="1" ht="22.5">
      <c r="A938" s="143"/>
      <c r="B938" s="425"/>
      <c r="C938" s="419"/>
      <c r="D938" s="424" t="s">
        <v>1500</v>
      </c>
      <c r="E938" s="422"/>
      <c r="F938" s="423"/>
      <c r="G938" s="423">
        <v>110</v>
      </c>
      <c r="H938" s="423"/>
      <c r="I938" s="423"/>
      <c r="J938" s="423"/>
      <c r="K938" s="321"/>
    </row>
    <row r="939" spans="1:13" s="12" customFormat="1">
      <c r="A939" s="18"/>
      <c r="B939" s="426"/>
      <c r="C939" s="140"/>
      <c r="D939" s="213"/>
      <c r="E939" s="141"/>
      <c r="F939" s="142"/>
      <c r="G939" s="142"/>
      <c r="H939" s="142"/>
      <c r="I939" s="142"/>
      <c r="J939" s="142"/>
      <c r="K939" s="30"/>
    </row>
    <row r="940" spans="1:13" s="12" customFormat="1">
      <c r="A940" s="114" t="s">
        <v>114</v>
      </c>
      <c r="B940" s="176"/>
      <c r="C940" s="176"/>
      <c r="D940" s="177" t="s">
        <v>117</v>
      </c>
      <c r="E940" s="199"/>
      <c r="F940" s="200"/>
      <c r="G940" s="200"/>
      <c r="H940" s="200"/>
      <c r="I940" s="200"/>
      <c r="J940" s="200"/>
      <c r="K940" s="116"/>
    </row>
    <row r="941" spans="1:13" s="12" customFormat="1">
      <c r="A941" s="18" t="s">
        <v>116</v>
      </c>
      <c r="B941" s="161" t="s">
        <v>247</v>
      </c>
      <c r="C941" s="140" t="s">
        <v>136</v>
      </c>
      <c r="D941" s="147" t="s">
        <v>1228</v>
      </c>
      <c r="E941" s="141" t="s">
        <v>208</v>
      </c>
      <c r="F941" s="142"/>
      <c r="G941" s="142"/>
      <c r="H941" s="142"/>
      <c r="I941" s="142"/>
      <c r="J941" s="142"/>
      <c r="K941" s="31">
        <v>2802.6</v>
      </c>
    </row>
    <row r="942" spans="1:13" s="12" customFormat="1" ht="22.5">
      <c r="A942" s="18"/>
      <c r="B942" s="140"/>
      <c r="C942" s="140"/>
      <c r="D942" s="147" t="s">
        <v>246</v>
      </c>
      <c r="E942" s="141"/>
      <c r="F942" s="142"/>
      <c r="G942" s="142"/>
      <c r="H942" s="142"/>
      <c r="I942" s="142"/>
      <c r="J942" s="142"/>
      <c r="K942" s="30"/>
    </row>
    <row r="943" spans="1:13" ht="12" thickBot="1">
      <c r="A943" s="48"/>
      <c r="B943" s="49"/>
      <c r="C943" s="49"/>
      <c r="D943" s="50"/>
      <c r="E943" s="51"/>
      <c r="F943" s="52"/>
      <c r="G943" s="52"/>
      <c r="H943" s="52"/>
      <c r="I943" s="52"/>
      <c r="J943" s="52"/>
      <c r="K943" s="53"/>
    </row>
    <row r="944" spans="1:13">
      <c r="F944" s="25"/>
      <c r="G944" s="25"/>
      <c r="H944" s="25"/>
      <c r="I944" s="25"/>
      <c r="J944" s="25"/>
      <c r="K944" s="25"/>
    </row>
    <row r="945" spans="6:11">
      <c r="F945" s="25"/>
      <c r="G945" s="25"/>
      <c r="H945" s="25"/>
      <c r="I945" s="25"/>
      <c r="J945" s="25"/>
      <c r="K945" s="25"/>
    </row>
    <row r="946" spans="6:11">
      <c r="F946" s="25"/>
      <c r="G946" s="25"/>
      <c r="H946" s="25"/>
      <c r="I946" s="25"/>
      <c r="J946" s="25"/>
      <c r="K946" s="25"/>
    </row>
    <row r="947" spans="6:11">
      <c r="F947" s="25"/>
      <c r="G947" s="25"/>
      <c r="H947" s="25"/>
      <c r="I947" s="25"/>
      <c r="J947" s="25"/>
      <c r="K947" s="25"/>
    </row>
    <row r="948" spans="6:11">
      <c r="F948" s="25"/>
      <c r="G948" s="25"/>
      <c r="H948" s="25"/>
      <c r="I948" s="25"/>
      <c r="J948" s="25"/>
      <c r="K948" s="25"/>
    </row>
    <row r="949" spans="6:11">
      <c r="F949" s="25"/>
      <c r="G949" s="25"/>
      <c r="H949" s="25"/>
      <c r="I949" s="25"/>
      <c r="J949" s="25"/>
      <c r="K949" s="25"/>
    </row>
    <row r="950" spans="6:11">
      <c r="F950" s="25"/>
      <c r="G950" s="25"/>
      <c r="H950" s="25"/>
      <c r="I950" s="25"/>
      <c r="J950" s="25"/>
      <c r="K950" s="25"/>
    </row>
  </sheetData>
  <mergeCells count="3">
    <mergeCell ref="K8:K9"/>
    <mergeCell ref="A2:K2"/>
    <mergeCell ref="F8:J8"/>
  </mergeCells>
  <phoneticPr fontId="27" type="noConversion"/>
  <conditionalFormatting sqref="K859:K864 K880:K881 K883 K890:K905">
    <cfRule type="cellIs" dxfId="6" priority="47" stopIfTrue="1" operator="equal">
      <formula>0</formula>
    </cfRule>
  </conditionalFormatting>
  <conditionalFormatting sqref="K884:K888">
    <cfRule type="cellIs" dxfId="5" priority="10" stopIfTrue="1" operator="equal">
      <formula>0</formula>
    </cfRule>
  </conditionalFormatting>
  <conditionalFormatting sqref="K889">
    <cfRule type="cellIs" dxfId="4" priority="8" stopIfTrue="1" operator="equal">
      <formula>0</formula>
    </cfRule>
  </conditionalFormatting>
  <printOptions horizontalCentered="1"/>
  <pageMargins left="0.51181102362204722" right="0.51181102362204722" top="0.98425196850393704" bottom="0.59055118110236227" header="0.19685039370078741" footer="0.31496062992125984"/>
  <pageSetup paperSize="9" scale="95" orientation="landscape" horizontalDpi="360" verticalDpi="360" r:id="rId1"/>
  <headerFooter>
    <oddHeader>&amp;L&amp;G&amp;R&amp;G</oddHeader>
    <oddFooter>&amp;RPágina &amp;P de &amp;N</oddFooter>
  </headerFooter>
  <legacyDrawingHF r:id="rId2"/>
</worksheet>
</file>

<file path=xl/worksheets/sheet2.xml><?xml version="1.0" encoding="utf-8"?>
<worksheet xmlns="http://schemas.openxmlformats.org/spreadsheetml/2006/main" xmlns:r="http://schemas.openxmlformats.org/officeDocument/2006/relationships">
  <sheetPr>
    <pageSetUpPr fitToPage="1"/>
  </sheetPr>
  <dimension ref="A1:Z152"/>
  <sheetViews>
    <sheetView topLeftCell="J6" workbookViewId="0">
      <selection activeCell="AA26" sqref="AA26"/>
    </sheetView>
  </sheetViews>
  <sheetFormatPr defaultRowHeight="15"/>
  <cols>
    <col min="1" max="4" width="5.7109375" style="86" hidden="1" customWidth="1"/>
    <col min="5" max="5" width="11.28515625" style="86" hidden="1" customWidth="1"/>
    <col min="6" max="6" width="11.42578125" style="86" hidden="1" customWidth="1"/>
    <col min="7" max="7" width="11.85546875" style="86" hidden="1" customWidth="1"/>
    <col min="8" max="8" width="10.7109375" hidden="1" customWidth="1"/>
    <col min="9" max="9" width="3.7109375" hidden="1" customWidth="1"/>
    <col min="10" max="15" width="10.7109375" style="86" customWidth="1"/>
    <col min="16" max="16" width="12.85546875" style="86" customWidth="1"/>
    <col min="17" max="19" width="10.7109375" style="86" customWidth="1"/>
    <col min="21" max="26" width="0" hidden="1" customWidth="1"/>
    <col min="257" max="263" width="0" hidden="1" customWidth="1"/>
    <col min="264" max="264" width="10.7109375" customWidth="1"/>
    <col min="265" max="265" width="3.7109375" customWidth="1"/>
    <col min="266" max="271" width="10.7109375" customWidth="1"/>
    <col min="272" max="272" width="12.85546875" customWidth="1"/>
    <col min="273" max="275" width="10.7109375" customWidth="1"/>
    <col min="513" max="519" width="0" hidden="1" customWidth="1"/>
    <col min="520" max="520" width="10.7109375" customWidth="1"/>
    <col min="521" max="521" width="3.7109375" customWidth="1"/>
    <col min="522" max="527" width="10.7109375" customWidth="1"/>
    <col min="528" max="528" width="12.85546875" customWidth="1"/>
    <col min="529" max="531" width="10.7109375" customWidth="1"/>
    <col min="769" max="775" width="0" hidden="1" customWidth="1"/>
    <col min="776" max="776" width="10.7109375" customWidth="1"/>
    <col min="777" max="777" width="3.7109375" customWidth="1"/>
    <col min="778" max="783" width="10.7109375" customWidth="1"/>
    <col min="784" max="784" width="12.85546875" customWidth="1"/>
    <col min="785" max="787" width="10.7109375" customWidth="1"/>
    <col min="1025" max="1031" width="0" hidden="1" customWidth="1"/>
    <col min="1032" max="1032" width="10.7109375" customWidth="1"/>
    <col min="1033" max="1033" width="3.7109375" customWidth="1"/>
    <col min="1034" max="1039" width="10.7109375" customWidth="1"/>
    <col min="1040" max="1040" width="12.85546875" customWidth="1"/>
    <col min="1041" max="1043" width="10.7109375" customWidth="1"/>
    <col min="1281" max="1287" width="0" hidden="1" customWidth="1"/>
    <col min="1288" max="1288" width="10.7109375" customWidth="1"/>
    <col min="1289" max="1289" width="3.7109375" customWidth="1"/>
    <col min="1290" max="1295" width="10.7109375" customWidth="1"/>
    <col min="1296" max="1296" width="12.85546875" customWidth="1"/>
    <col min="1297" max="1299" width="10.7109375" customWidth="1"/>
    <col min="1537" max="1543" width="0" hidden="1" customWidth="1"/>
    <col min="1544" max="1544" width="10.7109375" customWidth="1"/>
    <col min="1545" max="1545" width="3.7109375" customWidth="1"/>
    <col min="1546" max="1551" width="10.7109375" customWidth="1"/>
    <col min="1552" max="1552" width="12.85546875" customWidth="1"/>
    <col min="1553" max="1555" width="10.7109375" customWidth="1"/>
    <col min="1793" max="1799" width="0" hidden="1" customWidth="1"/>
    <col min="1800" max="1800" width="10.7109375" customWidth="1"/>
    <col min="1801" max="1801" width="3.7109375" customWidth="1"/>
    <col min="1802" max="1807" width="10.7109375" customWidth="1"/>
    <col min="1808" max="1808" width="12.85546875" customWidth="1"/>
    <col min="1809" max="1811" width="10.7109375" customWidth="1"/>
    <col min="2049" max="2055" width="0" hidden="1" customWidth="1"/>
    <col min="2056" max="2056" width="10.7109375" customWidth="1"/>
    <col min="2057" max="2057" width="3.7109375" customWidth="1"/>
    <col min="2058" max="2063" width="10.7109375" customWidth="1"/>
    <col min="2064" max="2064" width="12.85546875" customWidth="1"/>
    <col min="2065" max="2067" width="10.7109375" customWidth="1"/>
    <col min="2305" max="2311" width="0" hidden="1" customWidth="1"/>
    <col min="2312" max="2312" width="10.7109375" customWidth="1"/>
    <col min="2313" max="2313" width="3.7109375" customWidth="1"/>
    <col min="2314" max="2319" width="10.7109375" customWidth="1"/>
    <col min="2320" max="2320" width="12.85546875" customWidth="1"/>
    <col min="2321" max="2323" width="10.7109375" customWidth="1"/>
    <col min="2561" max="2567" width="0" hidden="1" customWidth="1"/>
    <col min="2568" max="2568" width="10.7109375" customWidth="1"/>
    <col min="2569" max="2569" width="3.7109375" customWidth="1"/>
    <col min="2570" max="2575" width="10.7109375" customWidth="1"/>
    <col min="2576" max="2576" width="12.85546875" customWidth="1"/>
    <col min="2577" max="2579" width="10.7109375" customWidth="1"/>
    <col min="2817" max="2823" width="0" hidden="1" customWidth="1"/>
    <col min="2824" max="2824" width="10.7109375" customWidth="1"/>
    <col min="2825" max="2825" width="3.7109375" customWidth="1"/>
    <col min="2826" max="2831" width="10.7109375" customWidth="1"/>
    <col min="2832" max="2832" width="12.85546875" customWidth="1"/>
    <col min="2833" max="2835" width="10.7109375" customWidth="1"/>
    <col min="3073" max="3079" width="0" hidden="1" customWidth="1"/>
    <col min="3080" max="3080" width="10.7109375" customWidth="1"/>
    <col min="3081" max="3081" width="3.7109375" customWidth="1"/>
    <col min="3082" max="3087" width="10.7109375" customWidth="1"/>
    <col min="3088" max="3088" width="12.85546875" customWidth="1"/>
    <col min="3089" max="3091" width="10.7109375" customWidth="1"/>
    <col min="3329" max="3335" width="0" hidden="1" customWidth="1"/>
    <col min="3336" max="3336" width="10.7109375" customWidth="1"/>
    <col min="3337" max="3337" width="3.7109375" customWidth="1"/>
    <col min="3338" max="3343" width="10.7109375" customWidth="1"/>
    <col min="3344" max="3344" width="12.85546875" customWidth="1"/>
    <col min="3345" max="3347" width="10.7109375" customWidth="1"/>
    <col min="3585" max="3591" width="0" hidden="1" customWidth="1"/>
    <col min="3592" max="3592" width="10.7109375" customWidth="1"/>
    <col min="3593" max="3593" width="3.7109375" customWidth="1"/>
    <col min="3594" max="3599" width="10.7109375" customWidth="1"/>
    <col min="3600" max="3600" width="12.85546875" customWidth="1"/>
    <col min="3601" max="3603" width="10.7109375" customWidth="1"/>
    <col min="3841" max="3847" width="0" hidden="1" customWidth="1"/>
    <col min="3848" max="3848" width="10.7109375" customWidth="1"/>
    <col min="3849" max="3849" width="3.7109375" customWidth="1"/>
    <col min="3850" max="3855" width="10.7109375" customWidth="1"/>
    <col min="3856" max="3856" width="12.85546875" customWidth="1"/>
    <col min="3857" max="3859" width="10.7109375" customWidth="1"/>
    <col min="4097" max="4103" width="0" hidden="1" customWidth="1"/>
    <col min="4104" max="4104" width="10.7109375" customWidth="1"/>
    <col min="4105" max="4105" width="3.7109375" customWidth="1"/>
    <col min="4106" max="4111" width="10.7109375" customWidth="1"/>
    <col min="4112" max="4112" width="12.85546875" customWidth="1"/>
    <col min="4113" max="4115" width="10.7109375" customWidth="1"/>
    <col min="4353" max="4359" width="0" hidden="1" customWidth="1"/>
    <col min="4360" max="4360" width="10.7109375" customWidth="1"/>
    <col min="4361" max="4361" width="3.7109375" customWidth="1"/>
    <col min="4362" max="4367" width="10.7109375" customWidth="1"/>
    <col min="4368" max="4368" width="12.85546875" customWidth="1"/>
    <col min="4369" max="4371" width="10.7109375" customWidth="1"/>
    <col min="4609" max="4615" width="0" hidden="1" customWidth="1"/>
    <col min="4616" max="4616" width="10.7109375" customWidth="1"/>
    <col min="4617" max="4617" width="3.7109375" customWidth="1"/>
    <col min="4618" max="4623" width="10.7109375" customWidth="1"/>
    <col min="4624" max="4624" width="12.85546875" customWidth="1"/>
    <col min="4625" max="4627" width="10.7109375" customWidth="1"/>
    <col min="4865" max="4871" width="0" hidden="1" customWidth="1"/>
    <col min="4872" max="4872" width="10.7109375" customWidth="1"/>
    <col min="4873" max="4873" width="3.7109375" customWidth="1"/>
    <col min="4874" max="4879" width="10.7109375" customWidth="1"/>
    <col min="4880" max="4880" width="12.85546875" customWidth="1"/>
    <col min="4881" max="4883" width="10.7109375" customWidth="1"/>
    <col min="5121" max="5127" width="0" hidden="1" customWidth="1"/>
    <col min="5128" max="5128" width="10.7109375" customWidth="1"/>
    <col min="5129" max="5129" width="3.7109375" customWidth="1"/>
    <col min="5130" max="5135" width="10.7109375" customWidth="1"/>
    <col min="5136" max="5136" width="12.85546875" customWidth="1"/>
    <col min="5137" max="5139" width="10.7109375" customWidth="1"/>
    <col min="5377" max="5383" width="0" hidden="1" customWidth="1"/>
    <col min="5384" max="5384" width="10.7109375" customWidth="1"/>
    <col min="5385" max="5385" width="3.7109375" customWidth="1"/>
    <col min="5386" max="5391" width="10.7109375" customWidth="1"/>
    <col min="5392" max="5392" width="12.85546875" customWidth="1"/>
    <col min="5393" max="5395" width="10.7109375" customWidth="1"/>
    <col min="5633" max="5639" width="0" hidden="1" customWidth="1"/>
    <col min="5640" max="5640" width="10.7109375" customWidth="1"/>
    <col min="5641" max="5641" width="3.7109375" customWidth="1"/>
    <col min="5642" max="5647" width="10.7109375" customWidth="1"/>
    <col min="5648" max="5648" width="12.85546875" customWidth="1"/>
    <col min="5649" max="5651" width="10.7109375" customWidth="1"/>
    <col min="5889" max="5895" width="0" hidden="1" customWidth="1"/>
    <col min="5896" max="5896" width="10.7109375" customWidth="1"/>
    <col min="5897" max="5897" width="3.7109375" customWidth="1"/>
    <col min="5898" max="5903" width="10.7109375" customWidth="1"/>
    <col min="5904" max="5904" width="12.85546875" customWidth="1"/>
    <col min="5905" max="5907" width="10.7109375" customWidth="1"/>
    <col min="6145" max="6151" width="0" hidden="1" customWidth="1"/>
    <col min="6152" max="6152" width="10.7109375" customWidth="1"/>
    <col min="6153" max="6153" width="3.7109375" customWidth="1"/>
    <col min="6154" max="6159" width="10.7109375" customWidth="1"/>
    <col min="6160" max="6160" width="12.85546875" customWidth="1"/>
    <col min="6161" max="6163" width="10.7109375" customWidth="1"/>
    <col min="6401" max="6407" width="0" hidden="1" customWidth="1"/>
    <col min="6408" max="6408" width="10.7109375" customWidth="1"/>
    <col min="6409" max="6409" width="3.7109375" customWidth="1"/>
    <col min="6410" max="6415" width="10.7109375" customWidth="1"/>
    <col min="6416" max="6416" width="12.85546875" customWidth="1"/>
    <col min="6417" max="6419" width="10.7109375" customWidth="1"/>
    <col min="6657" max="6663" width="0" hidden="1" customWidth="1"/>
    <col min="6664" max="6664" width="10.7109375" customWidth="1"/>
    <col min="6665" max="6665" width="3.7109375" customWidth="1"/>
    <col min="6666" max="6671" width="10.7109375" customWidth="1"/>
    <col min="6672" max="6672" width="12.85546875" customWidth="1"/>
    <col min="6673" max="6675" width="10.7109375" customWidth="1"/>
    <col min="6913" max="6919" width="0" hidden="1" customWidth="1"/>
    <col min="6920" max="6920" width="10.7109375" customWidth="1"/>
    <col min="6921" max="6921" width="3.7109375" customWidth="1"/>
    <col min="6922" max="6927" width="10.7109375" customWidth="1"/>
    <col min="6928" max="6928" width="12.85546875" customWidth="1"/>
    <col min="6929" max="6931" width="10.7109375" customWidth="1"/>
    <col min="7169" max="7175" width="0" hidden="1" customWidth="1"/>
    <col min="7176" max="7176" width="10.7109375" customWidth="1"/>
    <col min="7177" max="7177" width="3.7109375" customWidth="1"/>
    <col min="7178" max="7183" width="10.7109375" customWidth="1"/>
    <col min="7184" max="7184" width="12.85546875" customWidth="1"/>
    <col min="7185" max="7187" width="10.7109375" customWidth="1"/>
    <col min="7425" max="7431" width="0" hidden="1" customWidth="1"/>
    <col min="7432" max="7432" width="10.7109375" customWidth="1"/>
    <col min="7433" max="7433" width="3.7109375" customWidth="1"/>
    <col min="7434" max="7439" width="10.7109375" customWidth="1"/>
    <col min="7440" max="7440" width="12.85546875" customWidth="1"/>
    <col min="7441" max="7443" width="10.7109375" customWidth="1"/>
    <col min="7681" max="7687" width="0" hidden="1" customWidth="1"/>
    <col min="7688" max="7688" width="10.7109375" customWidth="1"/>
    <col min="7689" max="7689" width="3.7109375" customWidth="1"/>
    <col min="7690" max="7695" width="10.7109375" customWidth="1"/>
    <col min="7696" max="7696" width="12.85546875" customWidth="1"/>
    <col min="7697" max="7699" width="10.7109375" customWidth="1"/>
    <col min="7937" max="7943" width="0" hidden="1" customWidth="1"/>
    <col min="7944" max="7944" width="10.7109375" customWidth="1"/>
    <col min="7945" max="7945" width="3.7109375" customWidth="1"/>
    <col min="7946" max="7951" width="10.7109375" customWidth="1"/>
    <col min="7952" max="7952" width="12.85546875" customWidth="1"/>
    <col min="7953" max="7955" width="10.7109375" customWidth="1"/>
    <col min="8193" max="8199" width="0" hidden="1" customWidth="1"/>
    <col min="8200" max="8200" width="10.7109375" customWidth="1"/>
    <col min="8201" max="8201" width="3.7109375" customWidth="1"/>
    <col min="8202" max="8207" width="10.7109375" customWidth="1"/>
    <col min="8208" max="8208" width="12.85546875" customWidth="1"/>
    <col min="8209" max="8211" width="10.7109375" customWidth="1"/>
    <col min="8449" max="8455" width="0" hidden="1" customWidth="1"/>
    <col min="8456" max="8456" width="10.7109375" customWidth="1"/>
    <col min="8457" max="8457" width="3.7109375" customWidth="1"/>
    <col min="8458" max="8463" width="10.7109375" customWidth="1"/>
    <col min="8464" max="8464" width="12.85546875" customWidth="1"/>
    <col min="8465" max="8467" width="10.7109375" customWidth="1"/>
    <col min="8705" max="8711" width="0" hidden="1" customWidth="1"/>
    <col min="8712" max="8712" width="10.7109375" customWidth="1"/>
    <col min="8713" max="8713" width="3.7109375" customWidth="1"/>
    <col min="8714" max="8719" width="10.7109375" customWidth="1"/>
    <col min="8720" max="8720" width="12.85546875" customWidth="1"/>
    <col min="8721" max="8723" width="10.7109375" customWidth="1"/>
    <col min="8961" max="8967" width="0" hidden="1" customWidth="1"/>
    <col min="8968" max="8968" width="10.7109375" customWidth="1"/>
    <col min="8969" max="8969" width="3.7109375" customWidth="1"/>
    <col min="8970" max="8975" width="10.7109375" customWidth="1"/>
    <col min="8976" max="8976" width="12.85546875" customWidth="1"/>
    <col min="8977" max="8979" width="10.7109375" customWidth="1"/>
    <col min="9217" max="9223" width="0" hidden="1" customWidth="1"/>
    <col min="9224" max="9224" width="10.7109375" customWidth="1"/>
    <col min="9225" max="9225" width="3.7109375" customWidth="1"/>
    <col min="9226" max="9231" width="10.7109375" customWidth="1"/>
    <col min="9232" max="9232" width="12.85546875" customWidth="1"/>
    <col min="9233" max="9235" width="10.7109375" customWidth="1"/>
    <col min="9473" max="9479" width="0" hidden="1" customWidth="1"/>
    <col min="9480" max="9480" width="10.7109375" customWidth="1"/>
    <col min="9481" max="9481" width="3.7109375" customWidth="1"/>
    <col min="9482" max="9487" width="10.7109375" customWidth="1"/>
    <col min="9488" max="9488" width="12.85546875" customWidth="1"/>
    <col min="9489" max="9491" width="10.7109375" customWidth="1"/>
    <col min="9729" max="9735" width="0" hidden="1" customWidth="1"/>
    <col min="9736" max="9736" width="10.7109375" customWidth="1"/>
    <col min="9737" max="9737" width="3.7109375" customWidth="1"/>
    <col min="9738" max="9743" width="10.7109375" customWidth="1"/>
    <col min="9744" max="9744" width="12.85546875" customWidth="1"/>
    <col min="9745" max="9747" width="10.7109375" customWidth="1"/>
    <col min="9985" max="9991" width="0" hidden="1" customWidth="1"/>
    <col min="9992" max="9992" width="10.7109375" customWidth="1"/>
    <col min="9993" max="9993" width="3.7109375" customWidth="1"/>
    <col min="9994" max="9999" width="10.7109375" customWidth="1"/>
    <col min="10000" max="10000" width="12.85546875" customWidth="1"/>
    <col min="10001" max="10003" width="10.7109375" customWidth="1"/>
    <col min="10241" max="10247" width="0" hidden="1" customWidth="1"/>
    <col min="10248" max="10248" width="10.7109375" customWidth="1"/>
    <col min="10249" max="10249" width="3.7109375" customWidth="1"/>
    <col min="10250" max="10255" width="10.7109375" customWidth="1"/>
    <col min="10256" max="10256" width="12.85546875" customWidth="1"/>
    <col min="10257" max="10259" width="10.7109375" customWidth="1"/>
    <col min="10497" max="10503" width="0" hidden="1" customWidth="1"/>
    <col min="10504" max="10504" width="10.7109375" customWidth="1"/>
    <col min="10505" max="10505" width="3.7109375" customWidth="1"/>
    <col min="10506" max="10511" width="10.7109375" customWidth="1"/>
    <col min="10512" max="10512" width="12.85546875" customWidth="1"/>
    <col min="10513" max="10515" width="10.7109375" customWidth="1"/>
    <col min="10753" max="10759" width="0" hidden="1" customWidth="1"/>
    <col min="10760" max="10760" width="10.7109375" customWidth="1"/>
    <col min="10761" max="10761" width="3.7109375" customWidth="1"/>
    <col min="10762" max="10767" width="10.7109375" customWidth="1"/>
    <col min="10768" max="10768" width="12.85546875" customWidth="1"/>
    <col min="10769" max="10771" width="10.7109375" customWidth="1"/>
    <col min="11009" max="11015" width="0" hidden="1" customWidth="1"/>
    <col min="11016" max="11016" width="10.7109375" customWidth="1"/>
    <col min="11017" max="11017" width="3.7109375" customWidth="1"/>
    <col min="11018" max="11023" width="10.7109375" customWidth="1"/>
    <col min="11024" max="11024" width="12.85546875" customWidth="1"/>
    <col min="11025" max="11027" width="10.7109375" customWidth="1"/>
    <col min="11265" max="11271" width="0" hidden="1" customWidth="1"/>
    <col min="11272" max="11272" width="10.7109375" customWidth="1"/>
    <col min="11273" max="11273" width="3.7109375" customWidth="1"/>
    <col min="11274" max="11279" width="10.7109375" customWidth="1"/>
    <col min="11280" max="11280" width="12.85546875" customWidth="1"/>
    <col min="11281" max="11283" width="10.7109375" customWidth="1"/>
    <col min="11521" max="11527" width="0" hidden="1" customWidth="1"/>
    <col min="11528" max="11528" width="10.7109375" customWidth="1"/>
    <col min="11529" max="11529" width="3.7109375" customWidth="1"/>
    <col min="11530" max="11535" width="10.7109375" customWidth="1"/>
    <col min="11536" max="11536" width="12.85546875" customWidth="1"/>
    <col min="11537" max="11539" width="10.7109375" customWidth="1"/>
    <col min="11777" max="11783" width="0" hidden="1" customWidth="1"/>
    <col min="11784" max="11784" width="10.7109375" customWidth="1"/>
    <col min="11785" max="11785" width="3.7109375" customWidth="1"/>
    <col min="11786" max="11791" width="10.7109375" customWidth="1"/>
    <col min="11792" max="11792" width="12.85546875" customWidth="1"/>
    <col min="11793" max="11795" width="10.7109375" customWidth="1"/>
    <col min="12033" max="12039" width="0" hidden="1" customWidth="1"/>
    <col min="12040" max="12040" width="10.7109375" customWidth="1"/>
    <col min="12041" max="12041" width="3.7109375" customWidth="1"/>
    <col min="12042" max="12047" width="10.7109375" customWidth="1"/>
    <col min="12048" max="12048" width="12.85546875" customWidth="1"/>
    <col min="12049" max="12051" width="10.7109375" customWidth="1"/>
    <col min="12289" max="12295" width="0" hidden="1" customWidth="1"/>
    <col min="12296" max="12296" width="10.7109375" customWidth="1"/>
    <col min="12297" max="12297" width="3.7109375" customWidth="1"/>
    <col min="12298" max="12303" width="10.7109375" customWidth="1"/>
    <col min="12304" max="12304" width="12.85546875" customWidth="1"/>
    <col min="12305" max="12307" width="10.7109375" customWidth="1"/>
    <col min="12545" max="12551" width="0" hidden="1" customWidth="1"/>
    <col min="12552" max="12552" width="10.7109375" customWidth="1"/>
    <col min="12553" max="12553" width="3.7109375" customWidth="1"/>
    <col min="12554" max="12559" width="10.7109375" customWidth="1"/>
    <col min="12560" max="12560" width="12.85546875" customWidth="1"/>
    <col min="12561" max="12563" width="10.7109375" customWidth="1"/>
    <col min="12801" max="12807" width="0" hidden="1" customWidth="1"/>
    <col min="12808" max="12808" width="10.7109375" customWidth="1"/>
    <col min="12809" max="12809" width="3.7109375" customWidth="1"/>
    <col min="12810" max="12815" width="10.7109375" customWidth="1"/>
    <col min="12816" max="12816" width="12.85546875" customWidth="1"/>
    <col min="12817" max="12819" width="10.7109375" customWidth="1"/>
    <col min="13057" max="13063" width="0" hidden="1" customWidth="1"/>
    <col min="13064" max="13064" width="10.7109375" customWidth="1"/>
    <col min="13065" max="13065" width="3.7109375" customWidth="1"/>
    <col min="13066" max="13071" width="10.7109375" customWidth="1"/>
    <col min="13072" max="13072" width="12.85546875" customWidth="1"/>
    <col min="13073" max="13075" width="10.7109375" customWidth="1"/>
    <col min="13313" max="13319" width="0" hidden="1" customWidth="1"/>
    <col min="13320" max="13320" width="10.7109375" customWidth="1"/>
    <col min="13321" max="13321" width="3.7109375" customWidth="1"/>
    <col min="13322" max="13327" width="10.7109375" customWidth="1"/>
    <col min="13328" max="13328" width="12.85546875" customWidth="1"/>
    <col min="13329" max="13331" width="10.7109375" customWidth="1"/>
    <col min="13569" max="13575" width="0" hidden="1" customWidth="1"/>
    <col min="13576" max="13576" width="10.7109375" customWidth="1"/>
    <col min="13577" max="13577" width="3.7109375" customWidth="1"/>
    <col min="13578" max="13583" width="10.7109375" customWidth="1"/>
    <col min="13584" max="13584" width="12.85546875" customWidth="1"/>
    <col min="13585" max="13587" width="10.7109375" customWidth="1"/>
    <col min="13825" max="13831" width="0" hidden="1" customWidth="1"/>
    <col min="13832" max="13832" width="10.7109375" customWidth="1"/>
    <col min="13833" max="13833" width="3.7109375" customWidth="1"/>
    <col min="13834" max="13839" width="10.7109375" customWidth="1"/>
    <col min="13840" max="13840" width="12.85546875" customWidth="1"/>
    <col min="13841" max="13843" width="10.7109375" customWidth="1"/>
    <col min="14081" max="14087" width="0" hidden="1" customWidth="1"/>
    <col min="14088" max="14088" width="10.7109375" customWidth="1"/>
    <col min="14089" max="14089" width="3.7109375" customWidth="1"/>
    <col min="14090" max="14095" width="10.7109375" customWidth="1"/>
    <col min="14096" max="14096" width="12.85546875" customWidth="1"/>
    <col min="14097" max="14099" width="10.7109375" customWidth="1"/>
    <col min="14337" max="14343" width="0" hidden="1" customWidth="1"/>
    <col min="14344" max="14344" width="10.7109375" customWidth="1"/>
    <col min="14345" max="14345" width="3.7109375" customWidth="1"/>
    <col min="14346" max="14351" width="10.7109375" customWidth="1"/>
    <col min="14352" max="14352" width="12.85546875" customWidth="1"/>
    <col min="14353" max="14355" width="10.7109375" customWidth="1"/>
    <col min="14593" max="14599" width="0" hidden="1" customWidth="1"/>
    <col min="14600" max="14600" width="10.7109375" customWidth="1"/>
    <col min="14601" max="14601" width="3.7109375" customWidth="1"/>
    <col min="14602" max="14607" width="10.7109375" customWidth="1"/>
    <col min="14608" max="14608" width="12.85546875" customWidth="1"/>
    <col min="14609" max="14611" width="10.7109375" customWidth="1"/>
    <col min="14849" max="14855" width="0" hidden="1" customWidth="1"/>
    <col min="14856" max="14856" width="10.7109375" customWidth="1"/>
    <col min="14857" max="14857" width="3.7109375" customWidth="1"/>
    <col min="14858" max="14863" width="10.7109375" customWidth="1"/>
    <col min="14864" max="14864" width="12.85546875" customWidth="1"/>
    <col min="14865" max="14867" width="10.7109375" customWidth="1"/>
    <col min="15105" max="15111" width="0" hidden="1" customWidth="1"/>
    <col min="15112" max="15112" width="10.7109375" customWidth="1"/>
    <col min="15113" max="15113" width="3.7109375" customWidth="1"/>
    <col min="15114" max="15119" width="10.7109375" customWidth="1"/>
    <col min="15120" max="15120" width="12.85546875" customWidth="1"/>
    <col min="15121" max="15123" width="10.7109375" customWidth="1"/>
    <col min="15361" max="15367" width="0" hidden="1" customWidth="1"/>
    <col min="15368" max="15368" width="10.7109375" customWidth="1"/>
    <col min="15369" max="15369" width="3.7109375" customWidth="1"/>
    <col min="15370" max="15375" width="10.7109375" customWidth="1"/>
    <col min="15376" max="15376" width="12.85546875" customWidth="1"/>
    <col min="15377" max="15379" width="10.7109375" customWidth="1"/>
    <col min="15617" max="15623" width="0" hidden="1" customWidth="1"/>
    <col min="15624" max="15624" width="10.7109375" customWidth="1"/>
    <col min="15625" max="15625" width="3.7109375" customWidth="1"/>
    <col min="15626" max="15631" width="10.7109375" customWidth="1"/>
    <col min="15632" max="15632" width="12.85546875" customWidth="1"/>
    <col min="15633" max="15635" width="10.7109375" customWidth="1"/>
    <col min="15873" max="15879" width="0" hidden="1" customWidth="1"/>
    <col min="15880" max="15880" width="10.7109375" customWidth="1"/>
    <col min="15881" max="15881" width="3.7109375" customWidth="1"/>
    <col min="15882" max="15887" width="10.7109375" customWidth="1"/>
    <col min="15888" max="15888" width="12.85546875" customWidth="1"/>
    <col min="15889" max="15891" width="10.7109375" customWidth="1"/>
    <col min="16129" max="16135" width="0" hidden="1" customWidth="1"/>
    <col min="16136" max="16136" width="10.7109375" customWidth="1"/>
    <col min="16137" max="16137" width="3.7109375" customWidth="1"/>
    <col min="16138" max="16143" width="10.7109375" customWidth="1"/>
    <col min="16144" max="16144" width="12.85546875" customWidth="1"/>
    <col min="16145" max="16147" width="10.7109375" customWidth="1"/>
  </cols>
  <sheetData>
    <row r="1" spans="1:19" ht="15.75" hidden="1">
      <c r="E1" s="87" t="s">
        <v>157</v>
      </c>
      <c r="F1" s="87" t="s">
        <v>158</v>
      </c>
      <c r="G1" s="87" t="s">
        <v>159</v>
      </c>
      <c r="O1" s="88" t="str">
        <f>"Quadro de Composição do BDI"</f>
        <v>Quadro de Composição do BDI</v>
      </c>
      <c r="R1" s="547" t="s">
        <v>285</v>
      </c>
      <c r="S1" s="547"/>
    </row>
    <row r="2" spans="1:19" hidden="1">
      <c r="A2" s="86" t="s">
        <v>160</v>
      </c>
      <c r="B2" s="89" t="s">
        <v>161</v>
      </c>
      <c r="C2" s="86" t="str">
        <f t="shared" ref="C2:C55" si="0">CONCATENATE(A2,"-",B2)</f>
        <v>Construção e Reforma de Edifícios-AC</v>
      </c>
      <c r="E2" s="90">
        <v>0.03</v>
      </c>
      <c r="F2" s="90">
        <v>0.04</v>
      </c>
      <c r="G2" s="90">
        <v>5.5E-2</v>
      </c>
      <c r="R2" s="548" t="s">
        <v>286</v>
      </c>
      <c r="S2" s="548"/>
    </row>
    <row r="3" spans="1:19" hidden="1">
      <c r="A3" s="86" t="str">
        <f>A2</f>
        <v>Construção e Reforma de Edifícios</v>
      </c>
      <c r="B3" s="89" t="s">
        <v>162</v>
      </c>
      <c r="C3" s="86" t="str">
        <f t="shared" si="0"/>
        <v>Construção e Reforma de Edifícios-SG</v>
      </c>
      <c r="E3" s="90">
        <v>8.0000000000000002E-3</v>
      </c>
      <c r="F3" s="90">
        <v>8.0000000000000002E-3</v>
      </c>
      <c r="G3" s="90">
        <v>0.01</v>
      </c>
    </row>
    <row r="4" spans="1:19" hidden="1">
      <c r="A4" s="86" t="str">
        <f>A3</f>
        <v>Construção e Reforma de Edifícios</v>
      </c>
      <c r="B4" s="89" t="s">
        <v>163</v>
      </c>
      <c r="C4" s="86" t="str">
        <f t="shared" si="0"/>
        <v>Construção e Reforma de Edifícios-R</v>
      </c>
      <c r="E4" s="90">
        <v>9.7000000000000003E-3</v>
      </c>
      <c r="F4" s="90">
        <v>1.2699999999999999E-2</v>
      </c>
      <c r="G4" s="90">
        <v>1.2699999999999999E-2</v>
      </c>
      <c r="J4" s="549" t="s">
        <v>287</v>
      </c>
      <c r="K4" s="549"/>
      <c r="L4" s="549" t="s">
        <v>288</v>
      </c>
      <c r="M4" s="549"/>
      <c r="N4" s="549" t="s">
        <v>289</v>
      </c>
      <c r="O4" s="549"/>
      <c r="P4" s="549"/>
      <c r="Q4" s="549"/>
      <c r="R4" s="549"/>
      <c r="S4" s="549"/>
    </row>
    <row r="5" spans="1:19" ht="12.75" hidden="1" customHeight="1">
      <c r="A5" s="86" t="str">
        <f>A4</f>
        <v>Construção e Reforma de Edifícios</v>
      </c>
      <c r="B5" s="89" t="s">
        <v>164</v>
      </c>
      <c r="C5" s="86" t="str">
        <f t="shared" si="0"/>
        <v>Construção e Reforma de Edifícios-DF</v>
      </c>
      <c r="E5" s="90">
        <v>5.8999999999999999E-3</v>
      </c>
      <c r="F5" s="90">
        <v>1.23E-2</v>
      </c>
      <c r="G5" s="90">
        <v>1.3899999999999999E-2</v>
      </c>
      <c r="J5" s="550">
        <f>Import.CR</f>
        <v>0</v>
      </c>
      <c r="K5" s="550"/>
      <c r="L5" s="550">
        <f>Import.SICONV</f>
        <v>0</v>
      </c>
      <c r="M5" s="550"/>
      <c r="N5" s="550" t="str">
        <f>Import.Proponente</f>
        <v>PREFEITURA MUNICIPAL DE TORITAMA</v>
      </c>
      <c r="O5" s="550"/>
      <c r="P5" s="550"/>
      <c r="Q5" s="550"/>
      <c r="R5" s="550"/>
      <c r="S5" s="550"/>
    </row>
    <row r="6" spans="1:19" ht="18">
      <c r="B6" s="89"/>
      <c r="E6" s="90"/>
      <c r="F6" s="90"/>
      <c r="G6" s="90"/>
      <c r="J6" s="552" t="s">
        <v>327</v>
      </c>
      <c r="K6" s="552"/>
      <c r="L6" s="552"/>
      <c r="M6" s="552"/>
      <c r="N6" s="552"/>
      <c r="O6" s="552"/>
      <c r="P6" s="552"/>
      <c r="Q6" s="552"/>
      <c r="R6" s="552"/>
      <c r="S6" s="552"/>
    </row>
    <row r="7" spans="1:19" ht="12.75" customHeight="1">
      <c r="B7" s="89"/>
      <c r="E7" s="90"/>
      <c r="F7" s="90"/>
      <c r="G7" s="90"/>
      <c r="J7" s="8"/>
      <c r="K7" s="8"/>
      <c r="L7" s="8"/>
      <c r="M7" s="8"/>
      <c r="N7" s="34"/>
      <c r="O7" s="34"/>
      <c r="P7" s="34"/>
      <c r="Q7" s="113"/>
      <c r="R7" s="113"/>
      <c r="S7" s="113"/>
    </row>
    <row r="8" spans="1:19" ht="12.75" customHeight="1">
      <c r="B8" s="89"/>
      <c r="E8" s="90"/>
      <c r="F8" s="90"/>
      <c r="G8" s="90"/>
      <c r="J8" s="4" t="s">
        <v>331</v>
      </c>
      <c r="K8" s="4"/>
      <c r="L8" s="1"/>
      <c r="M8" s="2"/>
      <c r="N8" s="9"/>
      <c r="O8" s="9"/>
      <c r="P8" s="9"/>
      <c r="Q8" s="113"/>
      <c r="R8" s="113"/>
      <c r="S8" s="113"/>
    </row>
    <row r="9" spans="1:19" ht="12.75" customHeight="1">
      <c r="B9" s="89"/>
      <c r="E9" s="90"/>
      <c r="F9" s="90"/>
      <c r="G9" s="90"/>
      <c r="J9" s="4" t="s">
        <v>124</v>
      </c>
      <c r="K9" s="4"/>
      <c r="L9" s="4"/>
      <c r="M9" s="5"/>
      <c r="N9" s="3"/>
      <c r="O9" s="3"/>
      <c r="Q9" s="80" t="s">
        <v>1196</v>
      </c>
      <c r="R9" s="113"/>
      <c r="S9" s="113"/>
    </row>
    <row r="10" spans="1:19" ht="12.75" customHeight="1">
      <c r="B10" s="89"/>
      <c r="E10" s="90"/>
      <c r="F10" s="90"/>
      <c r="G10" s="90"/>
      <c r="J10" s="4" t="s">
        <v>1195</v>
      </c>
      <c r="K10" s="4"/>
      <c r="L10" s="1"/>
      <c r="M10" s="5"/>
      <c r="N10" s="3"/>
      <c r="O10" s="3"/>
      <c r="Q10" s="3"/>
      <c r="R10" s="34"/>
      <c r="S10" s="113"/>
    </row>
    <row r="11" spans="1:19" ht="12.75" customHeight="1">
      <c r="B11" s="89"/>
      <c r="E11" s="90"/>
      <c r="F11" s="90"/>
      <c r="G11" s="90"/>
      <c r="J11" s="4" t="s">
        <v>1530</v>
      </c>
      <c r="K11" s="4"/>
      <c r="L11" s="1"/>
      <c r="M11" s="5"/>
      <c r="O11" s="3"/>
      <c r="Q11" s="113"/>
      <c r="R11" s="113"/>
      <c r="S11" s="113"/>
    </row>
    <row r="12" spans="1:19" ht="12.75" hidden="1" customHeight="1">
      <c r="B12" s="89"/>
      <c r="E12" s="90"/>
      <c r="F12" s="90"/>
      <c r="G12" s="90"/>
      <c r="J12" s="113"/>
      <c r="K12" s="113"/>
      <c r="L12" s="113"/>
      <c r="M12" s="113"/>
      <c r="N12" s="113"/>
      <c r="O12" s="113"/>
      <c r="P12" s="113"/>
      <c r="Q12" s="113"/>
      <c r="R12" s="113"/>
      <c r="S12" s="113"/>
    </row>
    <row r="13" spans="1:19" hidden="1">
      <c r="A13" s="86" t="str">
        <f>A5</f>
        <v>Construção e Reforma de Edifícios</v>
      </c>
      <c r="B13" s="89" t="s">
        <v>165</v>
      </c>
      <c r="C13" s="86" t="str">
        <f t="shared" si="0"/>
        <v>Construção e Reforma de Edifícios-L</v>
      </c>
      <c r="E13" s="90">
        <v>6.1600000000000002E-2</v>
      </c>
      <c r="F13" s="90">
        <v>7.400000000000001E-2</v>
      </c>
      <c r="G13" s="90">
        <v>8.9600000000000013E-2</v>
      </c>
      <c r="I13" s="529" t="s">
        <v>166</v>
      </c>
      <c r="J13" s="137"/>
      <c r="K13" s="137"/>
      <c r="L13" s="137"/>
      <c r="M13" s="137"/>
      <c r="N13" s="137"/>
      <c r="O13" s="137"/>
      <c r="P13" s="137"/>
      <c r="Q13" s="137"/>
      <c r="R13" s="137"/>
      <c r="S13" s="137"/>
    </row>
    <row r="14" spans="1:19" ht="25.5" hidden="1">
      <c r="A14" s="86" t="str">
        <f>A13</f>
        <v>Construção e Reforma de Edifícios</v>
      </c>
      <c r="B14" s="91" t="s">
        <v>167</v>
      </c>
      <c r="C14" s="86" t="str">
        <f t="shared" si="0"/>
        <v>Construção e Reforma de Edifícios-BDI PAD</v>
      </c>
      <c r="E14" s="90">
        <v>0.2034</v>
      </c>
      <c r="F14" s="90">
        <v>0.22120000000000001</v>
      </c>
      <c r="G14" s="90">
        <v>0.25</v>
      </c>
      <c r="I14" s="529"/>
      <c r="J14" s="544" t="s">
        <v>290</v>
      </c>
      <c r="K14" s="544"/>
      <c r="L14" s="544"/>
      <c r="M14" s="544"/>
      <c r="N14" s="544"/>
      <c r="O14" s="544"/>
      <c r="P14" s="544"/>
      <c r="Q14" s="544"/>
      <c r="R14" s="544"/>
      <c r="S14" s="544"/>
    </row>
    <row r="15" spans="1:19" hidden="1">
      <c r="A15" s="86" t="s">
        <v>168</v>
      </c>
      <c r="B15" s="89" t="s">
        <v>161</v>
      </c>
      <c r="C15" s="86" t="str">
        <f t="shared" si="0"/>
        <v>Construção de Praças Urbanas, Rodovias, Ferrovias e recapeamento e pavimentação de vias urbanas-AC</v>
      </c>
      <c r="E15" s="90">
        <v>3.7999999999999999E-2</v>
      </c>
      <c r="F15" s="90">
        <v>4.0099999999999997E-2</v>
      </c>
      <c r="G15" s="90">
        <v>4.6699999999999998E-2</v>
      </c>
      <c r="I15" s="529"/>
      <c r="J15" s="545" t="str">
        <f>Import.Apelido&amp;" / "&amp;Import.DescLote</f>
        <v>CONSTRUÇÃO DE UMA ESCOLA COM 10 SALAS - SISTEMA CONSTRUTIVO CONTINUO / CONSTRUÇÃO DE UMA ESCOLA COM 10 SALAS</v>
      </c>
      <c r="K15" s="545"/>
      <c r="L15" s="545"/>
      <c r="M15" s="545"/>
      <c r="N15" s="545"/>
      <c r="O15" s="545"/>
      <c r="P15" s="545"/>
      <c r="Q15" s="545"/>
      <c r="R15" s="545"/>
      <c r="S15" s="545"/>
    </row>
    <row r="16" spans="1:19">
      <c r="A16" s="86" t="s">
        <v>168</v>
      </c>
      <c r="B16" s="89" t="s">
        <v>162</v>
      </c>
      <c r="C16" s="86" t="str">
        <f t="shared" si="0"/>
        <v>Construção de Praças Urbanas, Rodovias, Ferrovias e recapeamento e pavimentação de vias urbanas-SG</v>
      </c>
      <c r="E16" s="90">
        <v>3.2000000000000002E-3</v>
      </c>
      <c r="F16" s="90">
        <v>4.0000000000000001E-3</v>
      </c>
      <c r="G16" s="90">
        <v>7.4000000000000003E-3</v>
      </c>
      <c r="I16" s="529"/>
      <c r="J16" s="138"/>
      <c r="K16" s="138"/>
      <c r="L16" s="138"/>
      <c r="M16" s="138"/>
      <c r="N16" s="138"/>
      <c r="O16" s="138"/>
      <c r="P16" s="138"/>
      <c r="Q16" s="138"/>
      <c r="R16" s="138"/>
      <c r="S16" s="138"/>
    </row>
    <row r="17" spans="1:26" ht="12.75" customHeight="1">
      <c r="A17" s="86" t="s">
        <v>168</v>
      </c>
      <c r="B17" s="89" t="s">
        <v>163</v>
      </c>
      <c r="C17" s="86" t="str">
        <f t="shared" si="0"/>
        <v>Construção de Praças Urbanas, Rodovias, Ferrovias e recapeamento e pavimentação de vias urbanas-R</v>
      </c>
      <c r="E17" s="90">
        <v>5.0000000000000001E-3</v>
      </c>
      <c r="F17" s="90">
        <v>5.6000000000000008E-3</v>
      </c>
      <c r="G17" s="90">
        <v>9.7000000000000003E-3</v>
      </c>
      <c r="I17" s="529"/>
      <c r="J17" s="533" t="s">
        <v>169</v>
      </c>
      <c r="K17" s="533"/>
      <c r="L17" s="533"/>
      <c r="M17" s="533"/>
      <c r="N17" s="533"/>
      <c r="O17" s="533"/>
      <c r="P17" s="533"/>
      <c r="Q17" s="533"/>
      <c r="R17" s="531">
        <v>0.5</v>
      </c>
      <c r="S17" s="531"/>
    </row>
    <row r="18" spans="1:26" ht="12.75" customHeight="1">
      <c r="A18" s="86" t="s">
        <v>168</v>
      </c>
      <c r="B18" s="89" t="s">
        <v>164</v>
      </c>
      <c r="C18" s="86" t="str">
        <f t="shared" si="0"/>
        <v>Construção de Praças Urbanas, Rodovias, Ferrovias e recapeamento e pavimentação de vias urbanas-DF</v>
      </c>
      <c r="E18" s="90">
        <v>1.0200000000000001E-2</v>
      </c>
      <c r="F18" s="90">
        <v>1.11E-2</v>
      </c>
      <c r="G18" s="90">
        <v>1.21E-2</v>
      </c>
      <c r="I18" s="35" t="s">
        <v>170</v>
      </c>
      <c r="J18" s="530" t="s">
        <v>171</v>
      </c>
      <c r="K18" s="530"/>
      <c r="L18" s="530"/>
      <c r="M18" s="530"/>
      <c r="N18" s="530"/>
      <c r="O18" s="530"/>
      <c r="P18" s="530"/>
      <c r="Q18" s="530"/>
      <c r="R18" s="531">
        <v>0.05</v>
      </c>
      <c r="S18" s="531"/>
    </row>
    <row r="19" spans="1:26" ht="11.25" customHeight="1">
      <c r="A19" s="86" t="s">
        <v>168</v>
      </c>
      <c r="B19" s="91" t="s">
        <v>167</v>
      </c>
      <c r="C19" s="86" t="str">
        <f t="shared" si="0"/>
        <v>Construção de Praças Urbanas, Rodovias, Ferrovias e recapeamento e pavimentação de vias urbanas-BDI PAD</v>
      </c>
      <c r="E19" s="90">
        <v>0.19600000000000001</v>
      </c>
      <c r="F19" s="90">
        <v>0.2097</v>
      </c>
      <c r="G19" s="90">
        <v>0.24230000000000002</v>
      </c>
      <c r="I19" t="s">
        <v>172</v>
      </c>
    </row>
    <row r="20" spans="1:26" ht="15.75">
      <c r="A20" s="86" t="s">
        <v>173</v>
      </c>
      <c r="B20" s="89" t="s">
        <v>161</v>
      </c>
      <c r="C20" s="86" t="str">
        <f t="shared" si="0"/>
        <v>Construção de Redes de Abastecimento de Água, Coleta de Esgoto-AC</v>
      </c>
      <c r="E20" s="90">
        <v>3.4300000000000004E-2</v>
      </c>
      <c r="F20" s="90">
        <v>4.9299999999999997E-2</v>
      </c>
      <c r="G20" s="90">
        <v>6.7099999999999993E-2</v>
      </c>
      <c r="I20" t="s">
        <v>172</v>
      </c>
      <c r="J20" s="532" t="s">
        <v>291</v>
      </c>
      <c r="K20" s="532"/>
      <c r="L20" s="532"/>
      <c r="M20" s="532"/>
      <c r="N20" s="532"/>
      <c r="O20" s="532"/>
      <c r="P20" s="532"/>
      <c r="Q20" s="532"/>
      <c r="R20" s="532"/>
      <c r="S20" s="532"/>
    </row>
    <row r="21" spans="1:26">
      <c r="A21" s="86" t="str">
        <f>A20</f>
        <v>Construção de Redes de Abastecimento de Água, Coleta de Esgoto</v>
      </c>
      <c r="B21" s="89" t="s">
        <v>162</v>
      </c>
      <c r="C21" s="86" t="str">
        <f t="shared" si="0"/>
        <v>Construção de Redes de Abastecimento de Água, Coleta de Esgoto-SG</v>
      </c>
      <c r="E21" s="90">
        <v>2.8000000000000004E-3</v>
      </c>
      <c r="F21" s="90">
        <v>4.8999999999999998E-3</v>
      </c>
      <c r="G21" s="90">
        <v>7.4999999999999997E-3</v>
      </c>
      <c r="I21" t="s">
        <v>172</v>
      </c>
    </row>
    <row r="22" spans="1:26">
      <c r="A22" s="86" t="str">
        <f>A21</f>
        <v>Construção de Redes de Abastecimento de Água, Coleta de Esgoto</v>
      </c>
      <c r="B22" s="89" t="s">
        <v>163</v>
      </c>
      <c r="C22" s="86" t="str">
        <f t="shared" si="0"/>
        <v>Construção de Redes de Abastecimento de Água, Coleta de Esgoto-R</v>
      </c>
      <c r="E22" s="90">
        <v>0.01</v>
      </c>
      <c r="F22" s="90">
        <v>1.3899999999999999E-2</v>
      </c>
      <c r="G22" s="90">
        <v>1.7399999999999999E-2</v>
      </c>
      <c r="I22" t="s">
        <v>172</v>
      </c>
      <c r="J22" s="549" t="s">
        <v>174</v>
      </c>
      <c r="K22" s="549"/>
      <c r="L22" s="549"/>
      <c r="M22" s="549"/>
      <c r="N22" s="549"/>
      <c r="O22" s="549"/>
      <c r="P22" s="549"/>
      <c r="Q22" s="549"/>
      <c r="R22" s="549"/>
      <c r="S22" s="549"/>
    </row>
    <row r="23" spans="1:26">
      <c r="A23" s="86" t="str">
        <f>A22</f>
        <v>Construção de Redes de Abastecimento de Água, Coleta de Esgoto</v>
      </c>
      <c r="B23" s="89" t="s">
        <v>164</v>
      </c>
      <c r="C23" s="86" t="str">
        <f t="shared" si="0"/>
        <v>Construção de Redes de Abastecimento de Água, Coleta de Esgoto-DF</v>
      </c>
      <c r="E23" s="90">
        <v>9.3999999999999986E-3</v>
      </c>
      <c r="F23" s="90">
        <v>9.8999999999999991E-3</v>
      </c>
      <c r="G23" s="90">
        <v>1.1699999999999999E-2</v>
      </c>
      <c r="I23" t="s">
        <v>172</v>
      </c>
      <c r="J23" s="555" t="s">
        <v>160</v>
      </c>
      <c r="K23" s="555"/>
      <c r="L23" s="555"/>
      <c r="M23" s="555"/>
      <c r="N23" s="555"/>
      <c r="O23" s="555"/>
      <c r="P23" s="555"/>
      <c r="Q23" s="555"/>
      <c r="R23" s="555"/>
      <c r="S23" s="555"/>
    </row>
    <row r="24" spans="1:26">
      <c r="A24" s="86" t="str">
        <f>A23</f>
        <v>Construção de Redes de Abastecimento de Água, Coleta de Esgoto</v>
      </c>
      <c r="B24" s="89" t="s">
        <v>165</v>
      </c>
      <c r="C24" s="86" t="str">
        <f t="shared" si="0"/>
        <v>Construção de Redes de Abastecimento de Água, Coleta de Esgoto-L</v>
      </c>
      <c r="E24" s="90">
        <v>6.7400000000000002E-2</v>
      </c>
      <c r="F24" s="90">
        <v>8.0399999999999985E-2</v>
      </c>
      <c r="G24" s="90">
        <v>9.4E-2</v>
      </c>
      <c r="I24" t="s">
        <v>172</v>
      </c>
    </row>
    <row r="25" spans="1:26" ht="12.75" customHeight="1">
      <c r="A25" s="86" t="str">
        <f>A24</f>
        <v>Construção de Redes de Abastecimento de Água, Coleta de Esgoto</v>
      </c>
      <c r="B25" s="91" t="s">
        <v>167</v>
      </c>
      <c r="C25" s="86" t="str">
        <f t="shared" si="0"/>
        <v>Construção de Redes de Abastecimento de Água, Coleta de Esgoto-BDI PAD</v>
      </c>
      <c r="E25" s="90">
        <v>0.20760000000000001</v>
      </c>
      <c r="F25" s="90">
        <v>0.24179999999999999</v>
      </c>
      <c r="G25" s="90">
        <v>0.26440000000000002</v>
      </c>
      <c r="I25" t="s">
        <v>172</v>
      </c>
      <c r="J25" s="556" t="s">
        <v>175</v>
      </c>
      <c r="K25" s="556"/>
      <c r="L25" s="556"/>
      <c r="M25" s="556"/>
      <c r="N25" s="556"/>
      <c r="O25" s="556"/>
      <c r="P25" s="556"/>
      <c r="Q25" s="556"/>
      <c r="R25" s="556" t="s">
        <v>176</v>
      </c>
      <c r="S25" s="551" t="s">
        <v>177</v>
      </c>
      <c r="U25" s="551" t="s">
        <v>178</v>
      </c>
      <c r="V25" s="551"/>
      <c r="W25" s="551"/>
      <c r="X25" s="553" t="s">
        <v>179</v>
      </c>
      <c r="Y25" s="553" t="s">
        <v>180</v>
      </c>
      <c r="Z25" s="553" t="s">
        <v>181</v>
      </c>
    </row>
    <row r="26" spans="1:26" ht="12.75" customHeight="1">
      <c r="A26" s="86" t="s">
        <v>182</v>
      </c>
      <c r="B26" s="89" t="s">
        <v>161</v>
      </c>
      <c r="C26" s="86" t="str">
        <f t="shared" si="0"/>
        <v>Construção e Manutenção de Estações e Redes de Distribuição de Energia Elétrica-AC</v>
      </c>
      <c r="E26" s="90">
        <v>5.2900000000000003E-2</v>
      </c>
      <c r="F26" s="90">
        <v>5.9200000000000003E-2</v>
      </c>
      <c r="G26" s="90">
        <v>7.9299999999999995E-2</v>
      </c>
      <c r="I26" t="s">
        <v>172</v>
      </c>
      <c r="J26" s="556"/>
      <c r="K26" s="556"/>
      <c r="L26" s="556"/>
      <c r="M26" s="556"/>
      <c r="N26" s="556"/>
      <c r="O26" s="556"/>
      <c r="P26" s="556"/>
      <c r="Q26" s="556"/>
      <c r="R26" s="556"/>
      <c r="S26" s="551"/>
      <c r="U26" s="551"/>
      <c r="V26" s="551"/>
      <c r="W26" s="551"/>
      <c r="X26" s="553"/>
      <c r="Y26" s="553"/>
      <c r="Z26" s="553"/>
    </row>
    <row r="27" spans="1:26" ht="15" customHeight="1">
      <c r="A27" s="86" t="str">
        <f>A26</f>
        <v>Construção e Manutenção de Estações e Redes de Distribuição de Energia Elétrica</v>
      </c>
      <c r="B27" s="89" t="s">
        <v>162</v>
      </c>
      <c r="C27" s="86" t="str">
        <f t="shared" si="0"/>
        <v>Construção e Manutenção de Estações e Redes de Distribuição de Energia Elétrica-SG</v>
      </c>
      <c r="E27" s="90">
        <v>2.5000000000000001E-3</v>
      </c>
      <c r="F27" s="90">
        <v>5.1000000000000004E-3</v>
      </c>
      <c r="G27" s="90">
        <v>5.6000000000000008E-3</v>
      </c>
      <c r="I27" t="s">
        <v>172</v>
      </c>
      <c r="J27" s="542" t="str">
        <f>IF($J$23=$A$152,"Encargos Sociais incidentes sobre a mão de obra","Administração Central")</f>
        <v>Administração Central</v>
      </c>
      <c r="K27" s="542"/>
      <c r="L27" s="542"/>
      <c r="M27" s="542"/>
      <c r="N27" s="542"/>
      <c r="O27" s="542"/>
      <c r="P27" s="542"/>
      <c r="Q27" s="542"/>
      <c r="R27" s="92" t="str">
        <f>IF($J23=$A$152,"K1","AC")</f>
        <v>AC</v>
      </c>
      <c r="S27" s="93">
        <v>0.03</v>
      </c>
      <c r="U27" s="554" t="s">
        <v>183</v>
      </c>
      <c r="V27" s="554"/>
      <c r="W27" s="554"/>
      <c r="X27" s="94">
        <f>VLOOKUP(CONCATENATE(J23,"-",R27),$C$2:$G$142,3,FALSE)</f>
        <v>0.03</v>
      </c>
      <c r="Y27" s="94">
        <f>VLOOKUP(CONCATENATE(J23,"-",R27),$C$2:$G$142,4,FALSE)</f>
        <v>0.04</v>
      </c>
      <c r="Z27" s="94">
        <f>VLOOKUP(CONCATENATE(J23,"-",R27),$C$2:$G$142,5,FALSE)</f>
        <v>5.5E-2</v>
      </c>
    </row>
    <row r="28" spans="1:26" ht="15" customHeight="1">
      <c r="A28" s="86" t="str">
        <f>A27</f>
        <v>Construção e Manutenção de Estações e Redes de Distribuição de Energia Elétrica</v>
      </c>
      <c r="B28" s="89" t="s">
        <v>163</v>
      </c>
      <c r="C28" s="86" t="str">
        <f t="shared" si="0"/>
        <v>Construção e Manutenção de Estações e Redes de Distribuição de Energia Elétrica-R</v>
      </c>
      <c r="E28" s="90">
        <v>0.01</v>
      </c>
      <c r="F28" s="90">
        <v>1.4800000000000001E-2</v>
      </c>
      <c r="G28" s="90">
        <v>1.9699999999999999E-2</v>
      </c>
      <c r="I28" t="s">
        <v>172</v>
      </c>
      <c r="J28" s="542" t="str">
        <f>IF($J$23=$A$152,"Administração Central da empresa ou consultoria - overhead","Seguro e Garantia")</f>
        <v>Seguro e Garantia</v>
      </c>
      <c r="K28" s="542"/>
      <c r="L28" s="542"/>
      <c r="M28" s="542"/>
      <c r="N28" s="542"/>
      <c r="O28" s="542"/>
      <c r="P28" s="542"/>
      <c r="Q28" s="542"/>
      <c r="R28" s="92" t="str">
        <f>IF($J23=$A$152,"K2","SG")</f>
        <v>SG</v>
      </c>
      <c r="S28" s="93">
        <v>8.0000000000000002E-3</v>
      </c>
      <c r="U28" s="554" t="s">
        <v>183</v>
      </c>
      <c r="V28" s="554"/>
      <c r="W28" s="554"/>
      <c r="X28" s="94">
        <f>VLOOKUP(CONCATENATE(J23,"-",R28),$C$2:$G$142,3,FALSE)</f>
        <v>8.0000000000000002E-3</v>
      </c>
      <c r="Y28" s="94">
        <f>VLOOKUP(CONCATENATE(J23,"-",R28),$C$2:$G$142,4,FALSE)</f>
        <v>8.0000000000000002E-3</v>
      </c>
      <c r="Z28" s="94">
        <f>VLOOKUP(CONCATENATE(J23,"-",R28),$C$2:$G$142,5,FALSE)</f>
        <v>0.01</v>
      </c>
    </row>
    <row r="29" spans="1:26" ht="15" customHeight="1">
      <c r="A29" s="86" t="str">
        <f>A28</f>
        <v>Construção e Manutenção de Estações e Redes de Distribuição de Energia Elétrica</v>
      </c>
      <c r="B29" s="89" t="s">
        <v>164</v>
      </c>
      <c r="C29" s="86" t="str">
        <f t="shared" si="0"/>
        <v>Construção e Manutenção de Estações e Redes de Distribuição de Energia Elétrica-DF</v>
      </c>
      <c r="E29" s="90">
        <v>1.01E-2</v>
      </c>
      <c r="F29" s="90">
        <v>1.0700000000000001E-2</v>
      </c>
      <c r="G29" s="90">
        <v>1.11E-2</v>
      </c>
      <c r="I29" t="s">
        <v>172</v>
      </c>
      <c r="J29" s="542" t="str">
        <f>IF($J$23=$A$152,"","Risco")</f>
        <v>Risco</v>
      </c>
      <c r="K29" s="542"/>
      <c r="L29" s="542"/>
      <c r="M29" s="542"/>
      <c r="N29" s="542"/>
      <c r="O29" s="542"/>
      <c r="P29" s="542"/>
      <c r="Q29" s="542"/>
      <c r="R29" s="92" t="str">
        <f>IF($J23=$A$152,"","R")</f>
        <v>R</v>
      </c>
      <c r="S29" s="93">
        <v>9.7000000000000003E-3</v>
      </c>
      <c r="U29" s="554" t="s">
        <v>183</v>
      </c>
      <c r="V29" s="554"/>
      <c r="W29" s="554"/>
      <c r="X29" s="94">
        <f>VLOOKUP(CONCATENATE(J23,"-",R29),$C$2:$G$142,3,FALSE)</f>
        <v>9.7000000000000003E-3</v>
      </c>
      <c r="Y29" s="94">
        <f>VLOOKUP(CONCATENATE(J23,"-",R29),$C$2:$G$142,4,FALSE)</f>
        <v>1.2699999999999999E-2</v>
      </c>
      <c r="Z29" s="94">
        <f>VLOOKUP(CONCATENATE(J23,"-",R29),$C$2:$G$142,5,FALSE)</f>
        <v>1.2699999999999999E-2</v>
      </c>
    </row>
    <row r="30" spans="1:26" ht="15" customHeight="1">
      <c r="A30" s="86" t="str">
        <f>A29</f>
        <v>Construção e Manutenção de Estações e Redes de Distribuição de Energia Elétrica</v>
      </c>
      <c r="B30" s="89" t="s">
        <v>165</v>
      </c>
      <c r="C30" s="86" t="str">
        <f t="shared" si="0"/>
        <v>Construção e Manutenção de Estações e Redes de Distribuição de Energia Elétrica-L</v>
      </c>
      <c r="E30" s="90">
        <v>0.08</v>
      </c>
      <c r="F30" s="90">
        <v>8.3100000000000007E-2</v>
      </c>
      <c r="G30" s="90">
        <v>9.5100000000000004E-2</v>
      </c>
      <c r="I30" t="s">
        <v>172</v>
      </c>
      <c r="J30" s="542" t="str">
        <f>IF($J$23=$A$152,"","Despesas Financeiras")</f>
        <v>Despesas Financeiras</v>
      </c>
      <c r="K30" s="542"/>
      <c r="L30" s="542"/>
      <c r="M30" s="542"/>
      <c r="N30" s="542"/>
      <c r="O30" s="542"/>
      <c r="P30" s="542"/>
      <c r="Q30" s="542"/>
      <c r="R30" s="92" t="str">
        <f>IF($J23=$A$152,"","DF")</f>
        <v>DF</v>
      </c>
      <c r="S30" s="93">
        <v>5.8999999999999999E-3</v>
      </c>
      <c r="U30" s="554" t="s">
        <v>183</v>
      </c>
      <c r="V30" s="554"/>
      <c r="W30" s="554"/>
      <c r="X30" s="94">
        <f>VLOOKUP(CONCATENATE(J23,"-",R30),$C$2:$G$142,3,FALSE)</f>
        <v>5.8999999999999999E-3</v>
      </c>
      <c r="Y30" s="94">
        <f>VLOOKUP(CONCATENATE(J23,"-",R30),$C$2:$G$142,4,FALSE)</f>
        <v>1.23E-2</v>
      </c>
      <c r="Z30" s="94">
        <f>VLOOKUP(CONCATENATE(J23,"-",R30),$C$2:$G$142,5,FALSE)</f>
        <v>1.3899999999999999E-2</v>
      </c>
    </row>
    <row r="31" spans="1:26" ht="15" customHeight="1">
      <c r="A31" s="86" t="str">
        <f>A30</f>
        <v>Construção e Manutenção de Estações e Redes de Distribuição de Energia Elétrica</v>
      </c>
      <c r="B31" s="91" t="s">
        <v>167</v>
      </c>
      <c r="C31" s="86" t="str">
        <f t="shared" si="0"/>
        <v>Construção e Manutenção de Estações e Redes de Distribuição de Energia Elétrica-BDI PAD</v>
      </c>
      <c r="E31" s="90">
        <v>0.24</v>
      </c>
      <c r="F31" s="90">
        <v>0.25840000000000002</v>
      </c>
      <c r="G31" s="90">
        <v>0.27860000000000001</v>
      </c>
      <c r="I31" t="s">
        <v>172</v>
      </c>
      <c r="J31" s="542" t="str">
        <f>IF($J$23=$A$152,"Margem bruta da empresa de consultoria","Lucro")</f>
        <v>Lucro</v>
      </c>
      <c r="K31" s="542"/>
      <c r="L31" s="542"/>
      <c r="M31" s="542"/>
      <c r="N31" s="542"/>
      <c r="O31" s="542"/>
      <c r="P31" s="542"/>
      <c r="Q31" s="542"/>
      <c r="R31" s="92" t="str">
        <f>IF($J23=$A$152,"K3","L")</f>
        <v>L</v>
      </c>
      <c r="S31" s="93">
        <v>7.3999999999999996E-2</v>
      </c>
      <c r="U31" s="554" t="s">
        <v>183</v>
      </c>
      <c r="V31" s="554"/>
      <c r="W31" s="554"/>
      <c r="X31" s="94">
        <f>VLOOKUP(CONCATENATE(J23,"-",R31),$C$2:$G$142,3,FALSE)</f>
        <v>6.1600000000000002E-2</v>
      </c>
      <c r="Y31" s="94">
        <f>VLOOKUP(CONCATENATE(J23,"-",R31),$C$2:$G$142,4,FALSE)</f>
        <v>7.400000000000001E-2</v>
      </c>
      <c r="Z31" s="94">
        <f>VLOOKUP(CONCATENATE(J23,"-",R31),$C$2:$G$142,5,FALSE)</f>
        <v>8.9600000000000013E-2</v>
      </c>
    </row>
    <row r="32" spans="1:26" ht="15" customHeight="1">
      <c r="A32" s="86" t="s">
        <v>184</v>
      </c>
      <c r="B32" s="89" t="s">
        <v>161</v>
      </c>
      <c r="C32" s="86" t="str">
        <f t="shared" si="0"/>
        <v>Obras Portuárias, Marítimas e Fluviais-AC</v>
      </c>
      <c r="E32" s="90">
        <v>0.04</v>
      </c>
      <c r="F32" s="90">
        <v>5.5199999999999999E-2</v>
      </c>
      <c r="G32" s="90">
        <v>7.85E-2</v>
      </c>
      <c r="I32" t="s">
        <v>172</v>
      </c>
      <c r="J32" s="542" t="s">
        <v>185</v>
      </c>
      <c r="K32" s="542"/>
      <c r="L32" s="542"/>
      <c r="M32" s="542"/>
      <c r="N32" s="542"/>
      <c r="O32" s="542"/>
      <c r="P32" s="542"/>
      <c r="Q32" s="542"/>
      <c r="R32" s="92" t="s">
        <v>186</v>
      </c>
      <c r="S32" s="93">
        <v>3.6499999999999998E-2</v>
      </c>
      <c r="U32" s="554" t="s">
        <v>183</v>
      </c>
      <c r="V32" s="554"/>
      <c r="W32" s="554"/>
      <c r="X32" s="94">
        <v>3.6499999999999998E-2</v>
      </c>
      <c r="Y32" s="94">
        <v>3.6499999999999998E-2</v>
      </c>
      <c r="Z32" s="94">
        <v>3.6499999999999998E-2</v>
      </c>
    </row>
    <row r="33" spans="1:26" ht="15" customHeight="1">
      <c r="A33" s="86" t="str">
        <f>A32</f>
        <v>Obras Portuárias, Marítimas e Fluviais</v>
      </c>
      <c r="B33" s="89" t="s">
        <v>162</v>
      </c>
      <c r="C33" s="86" t="str">
        <f t="shared" si="0"/>
        <v>Obras Portuárias, Marítimas e Fluviais-SG</v>
      </c>
      <c r="E33" s="90">
        <v>8.1000000000000013E-3</v>
      </c>
      <c r="F33" s="90">
        <v>1.2199999999999999E-2</v>
      </c>
      <c r="G33" s="90">
        <v>1.9900000000000001E-2</v>
      </c>
      <c r="I33" t="s">
        <v>172</v>
      </c>
      <c r="J33" s="542" t="s">
        <v>187</v>
      </c>
      <c r="K33" s="542"/>
      <c r="L33" s="542"/>
      <c r="M33" s="542"/>
      <c r="N33" s="542"/>
      <c r="O33" s="542"/>
      <c r="P33" s="542"/>
      <c r="Q33" s="542"/>
      <c r="R33" s="92" t="s">
        <v>188</v>
      </c>
      <c r="S33" s="94">
        <f ca="1">IF(AND($J23&lt;&gt;$A$151,COUNTA(OFFSET(S26,1,0,6))&gt;0),$R$18*$R$17,0)</f>
        <v>2.5000000000000001E-2</v>
      </c>
      <c r="U33" s="554" t="s">
        <v>183</v>
      </c>
      <c r="V33" s="554"/>
      <c r="W33" s="554"/>
      <c r="X33" s="94">
        <v>0</v>
      </c>
      <c r="Y33" s="94">
        <v>2.5000000000000001E-2</v>
      </c>
      <c r="Z33" s="94">
        <v>0.05</v>
      </c>
    </row>
    <row r="34" spans="1:26" ht="15" customHeight="1">
      <c r="A34" s="86" t="str">
        <f>A33</f>
        <v>Obras Portuárias, Marítimas e Fluviais</v>
      </c>
      <c r="B34" s="89" t="s">
        <v>163</v>
      </c>
      <c r="C34" s="86" t="str">
        <f t="shared" si="0"/>
        <v>Obras Portuárias, Marítimas e Fluviais-R</v>
      </c>
      <c r="E34" s="90">
        <v>1.46E-2</v>
      </c>
      <c r="F34" s="90">
        <v>2.3199999999999998E-2</v>
      </c>
      <c r="G34" s="90">
        <v>3.1600000000000003E-2</v>
      </c>
      <c r="I34" t="s">
        <v>172</v>
      </c>
      <c r="J34" s="542" t="s">
        <v>189</v>
      </c>
      <c r="K34" s="542"/>
      <c r="L34" s="542"/>
      <c r="M34" s="542"/>
      <c r="N34" s="542"/>
      <c r="O34" s="542"/>
      <c r="P34" s="542"/>
      <c r="Q34" s="542"/>
      <c r="R34" s="92" t="s">
        <v>190</v>
      </c>
      <c r="S34" s="94">
        <v>4.4999999999999998E-2</v>
      </c>
      <c r="U34" s="554" t="s">
        <v>183</v>
      </c>
      <c r="V34" s="554"/>
      <c r="W34" s="554"/>
      <c r="X34" s="95">
        <v>0</v>
      </c>
      <c r="Y34" s="95">
        <v>4.4999999999999998E-2</v>
      </c>
      <c r="Z34" s="95">
        <v>4.4999999999999998E-2</v>
      </c>
    </row>
    <row r="35" spans="1:26" ht="15" customHeight="1">
      <c r="A35" s="86" t="str">
        <f>A34</f>
        <v>Obras Portuárias, Marítimas e Fluviais</v>
      </c>
      <c r="B35" s="89" t="s">
        <v>164</v>
      </c>
      <c r="C35" s="86" t="str">
        <f t="shared" si="0"/>
        <v>Obras Portuárias, Marítimas e Fluviais-DF</v>
      </c>
      <c r="E35" s="90">
        <v>9.3999999999999986E-3</v>
      </c>
      <c r="F35" s="90">
        <v>1.0200000000000001E-2</v>
      </c>
      <c r="G35" s="90">
        <v>1.3300000000000001E-2</v>
      </c>
      <c r="I35" t="s">
        <v>172</v>
      </c>
      <c r="J35" s="542" t="s">
        <v>191</v>
      </c>
      <c r="K35" s="542"/>
      <c r="L35" s="542"/>
      <c r="M35" s="542"/>
      <c r="N35" s="542"/>
      <c r="O35" s="542"/>
      <c r="P35" s="542"/>
      <c r="Q35" s="542"/>
      <c r="R35" s="96" t="s">
        <v>167</v>
      </c>
      <c r="S35" s="94">
        <f ca="1">IF($J23=$A$151,0,ROUND((((1+S27+S28+S29)*(1+S30)*(1+S31)/(1-(S32+S33)))-1),4))</f>
        <v>0.20599999999999999</v>
      </c>
      <c r="U35" s="551" t="str">
        <f ca="1">IF(OR($J$23=$A$152,$J$23=$A$151,AND(S35&gt;=X35,S35&lt;=Z35)),"OK","FORA DO INTERVALO")</f>
        <v>OK</v>
      </c>
      <c r="V35" s="551"/>
      <c r="W35" s="551"/>
      <c r="X35" s="94">
        <f>IF($J23=$A$151,0,VLOOKUP(CONCATENATE($J23,"-",$R35),$C$2:$G$142,3,FALSE))</f>
        <v>0.2034</v>
      </c>
      <c r="Y35" s="94">
        <f>IF($J23=$A$151,0,VLOOKUP(CONCATENATE($J23,"-",$R35),$C$2:$G$142,4,FALSE))</f>
        <v>0.22120000000000001</v>
      </c>
      <c r="Z35" s="94">
        <f>IF($J23=$A$151,0,VLOOKUP(CONCATENATE($J23,"-",$R35),$C$2:$G$142,5,FALSE))</f>
        <v>0.25</v>
      </c>
    </row>
    <row r="36" spans="1:26" ht="15" customHeight="1">
      <c r="A36" s="86" t="str">
        <f>A35</f>
        <v>Obras Portuárias, Marítimas e Fluviais</v>
      </c>
      <c r="B36" s="89" t="s">
        <v>165</v>
      </c>
      <c r="C36" s="86" t="str">
        <f t="shared" si="0"/>
        <v>Obras Portuárias, Marítimas e Fluviais-L</v>
      </c>
      <c r="E36" s="90">
        <v>7.1399999999999991E-2</v>
      </c>
      <c r="F36" s="90">
        <v>8.4000000000000005E-2</v>
      </c>
      <c r="G36" s="90">
        <v>0.1043</v>
      </c>
      <c r="I36" t="s">
        <v>172</v>
      </c>
      <c r="J36" s="543" t="s">
        <v>192</v>
      </c>
      <c r="K36" s="543"/>
      <c r="L36" s="543"/>
      <c r="M36" s="543"/>
      <c r="N36" s="543"/>
      <c r="O36" s="543"/>
      <c r="P36" s="543"/>
      <c r="Q36" s="543"/>
      <c r="R36" s="97" t="s">
        <v>193</v>
      </c>
      <c r="S36" s="98">
        <f ca="1">IF($J23=$A$151,0,ROUND((((1+S27+S28+S29)*(1+S30)*(1+S31)/(1-(S32+S33+S34)))-1),4))</f>
        <v>0.26679999999999998</v>
      </c>
    </row>
    <row r="37" spans="1:26" ht="25.5">
      <c r="A37" s="86" t="str">
        <f>A36</f>
        <v>Obras Portuárias, Marítimas e Fluviais</v>
      </c>
      <c r="B37" s="91" t="s">
        <v>167</v>
      </c>
      <c r="C37" s="86" t="str">
        <f t="shared" si="0"/>
        <v>Obras Portuárias, Marítimas e Fluviais-BDI PAD</v>
      </c>
      <c r="E37" s="90">
        <v>0.22800000000000001</v>
      </c>
      <c r="F37" s="90">
        <v>0.27479999999999999</v>
      </c>
      <c r="G37" s="90">
        <v>0.3095</v>
      </c>
      <c r="I37" t="s">
        <v>172</v>
      </c>
    </row>
    <row r="38" spans="1:26" ht="15.75">
      <c r="A38" s="86" t="s">
        <v>194</v>
      </c>
      <c r="B38" s="89" t="s">
        <v>161</v>
      </c>
      <c r="C38" s="86" t="str">
        <f t="shared" si="0"/>
        <v>Fornecimento de Materiais e Equipamentos (aquisição indireta - em conjunto com licitação de obras)-AC</v>
      </c>
      <c r="E38" s="90">
        <v>1.4999999999999999E-2</v>
      </c>
      <c r="F38" s="90">
        <v>3.4500000000000003E-2</v>
      </c>
      <c r="G38" s="90">
        <v>4.4900000000000002E-2</v>
      </c>
      <c r="I38" t="s">
        <v>172</v>
      </c>
      <c r="J38" s="99" t="str">
        <f ca="1">IF(U35&lt;&gt;"ok","X","")</f>
        <v/>
      </c>
      <c r="K38" s="538" t="str">
        <f ca="1">IF(U35&lt;&gt;"ok","Anexo: Relatório Técnico Circunstanciado justificando a adoção do percentual de cada parcela do BDI.","")</f>
        <v/>
      </c>
      <c r="L38" s="538"/>
      <c r="M38" s="538"/>
      <c r="N38" s="538"/>
      <c r="O38" s="538"/>
      <c r="P38" s="538"/>
      <c r="Q38" s="538"/>
      <c r="R38" s="538"/>
      <c r="S38" s="538"/>
    </row>
    <row r="39" spans="1:26">
      <c r="A39" s="86" t="str">
        <f>A38</f>
        <v>Fornecimento de Materiais e Equipamentos (aquisição indireta - em conjunto com licitação de obras)</v>
      </c>
      <c r="B39" s="89" t="s">
        <v>162</v>
      </c>
      <c r="C39" s="86" t="str">
        <f t="shared" si="0"/>
        <v>Fornecimento de Materiais e Equipamentos (aquisição indireta - em conjunto com licitação de obras)-SG</v>
      </c>
      <c r="E39" s="90">
        <v>3.0000000000000001E-3</v>
      </c>
      <c r="F39" s="90">
        <v>4.7999999999999996E-3</v>
      </c>
      <c r="G39" s="90">
        <v>8.199999999999999E-3</v>
      </c>
      <c r="I39" t="s">
        <v>172</v>
      </c>
    </row>
    <row r="40" spans="1:26">
      <c r="A40" s="86" t="str">
        <f>A39</f>
        <v>Fornecimento de Materiais e Equipamentos (aquisição indireta - em conjunto com licitação de obras)</v>
      </c>
      <c r="B40" s="89" t="s">
        <v>163</v>
      </c>
      <c r="C40" s="86" t="str">
        <f t="shared" si="0"/>
        <v>Fornecimento de Materiais e Equipamentos (aquisição indireta - em conjunto com licitação de obras)-R</v>
      </c>
      <c r="E40" s="90">
        <v>5.6000000000000008E-3</v>
      </c>
      <c r="F40" s="90">
        <v>8.5000000000000006E-3</v>
      </c>
      <c r="G40" s="90">
        <v>8.8999999999999999E-3</v>
      </c>
      <c r="I40" t="s">
        <v>172</v>
      </c>
      <c r="J40" s="539" t="s">
        <v>195</v>
      </c>
      <c r="K40" s="539"/>
      <c r="L40" s="539"/>
      <c r="M40" s="539"/>
      <c r="N40" s="539"/>
      <c r="O40" s="539"/>
      <c r="P40" s="539"/>
      <c r="Q40" s="539"/>
      <c r="R40" s="539"/>
      <c r="S40" s="539"/>
    </row>
    <row r="41" spans="1:26" ht="15.75">
      <c r="A41" s="86" t="str">
        <f>A40</f>
        <v>Fornecimento de Materiais e Equipamentos (aquisição indireta - em conjunto com licitação de obras)</v>
      </c>
      <c r="B41" s="89" t="s">
        <v>164</v>
      </c>
      <c r="C41" s="86" t="str">
        <f t="shared" si="0"/>
        <v>Fornecimento de Materiais e Equipamentos (aquisição indireta - em conjunto com licitação de obras)-DF</v>
      </c>
      <c r="E41" s="90">
        <v>8.5000000000000006E-3</v>
      </c>
      <c r="F41" s="90">
        <v>8.5000000000000006E-3</v>
      </c>
      <c r="G41" s="90">
        <v>1.11E-2</v>
      </c>
      <c r="I41" t="s">
        <v>172</v>
      </c>
      <c r="J41" s="100"/>
      <c r="K41" s="100"/>
      <c r="L41" s="100"/>
      <c r="M41" s="540" t="s">
        <v>196</v>
      </c>
      <c r="N41" s="541" t="str">
        <f>IF($J23=$A$152,"(1+K1+K2)*(1+K3)","(1+AC + S + R + G)*(1 + DF)*(1+L)")</f>
        <v>(1+AC + S + R + G)*(1 + DF)*(1+L)</v>
      </c>
      <c r="O41" s="541"/>
      <c r="P41" s="541"/>
      <c r="Q41" s="546" t="s">
        <v>197</v>
      </c>
      <c r="R41" s="100"/>
      <c r="S41" s="100"/>
    </row>
    <row r="42" spans="1:26" ht="15.75">
      <c r="A42" s="86" t="str">
        <f>A41</f>
        <v>Fornecimento de Materiais e Equipamentos (aquisição indireta - em conjunto com licitação de obras)</v>
      </c>
      <c r="B42" s="89" t="s">
        <v>165</v>
      </c>
      <c r="C42" s="86" t="str">
        <f t="shared" si="0"/>
        <v>Fornecimento de Materiais e Equipamentos (aquisição indireta - em conjunto com licitação de obras)-L</v>
      </c>
      <c r="E42" s="90">
        <v>3.5000000000000003E-2</v>
      </c>
      <c r="F42" s="90">
        <v>5.1100000000000007E-2</v>
      </c>
      <c r="G42" s="90">
        <v>6.2199999999999998E-2</v>
      </c>
      <c r="I42" t="s">
        <v>172</v>
      </c>
      <c r="J42" s="100"/>
      <c r="K42" s="100"/>
      <c r="L42" s="100"/>
      <c r="M42" s="540"/>
      <c r="N42" s="557" t="s">
        <v>292</v>
      </c>
      <c r="O42" s="557"/>
      <c r="P42" s="557"/>
      <c r="Q42" s="546"/>
      <c r="R42" s="100"/>
      <c r="S42" s="100"/>
    </row>
    <row r="43" spans="1:26" ht="15" customHeight="1">
      <c r="A43" s="86" t="str">
        <f>A42</f>
        <v>Fornecimento de Materiais e Equipamentos (aquisição indireta - em conjunto com licitação de obras)</v>
      </c>
      <c r="B43" s="91" t="s">
        <v>167</v>
      </c>
      <c r="C43" s="86" t="str">
        <f t="shared" si="0"/>
        <v>Fornecimento de Materiais e Equipamentos (aquisição indireta - em conjunto com licitação de obras)-BDI PAD</v>
      </c>
      <c r="E43" s="90">
        <v>0.111</v>
      </c>
      <c r="F43" s="90">
        <v>0.14019999999999999</v>
      </c>
      <c r="G43" s="90">
        <v>0.16800000000000001</v>
      </c>
      <c r="I43" t="s">
        <v>172</v>
      </c>
      <c r="J43" s="101"/>
      <c r="K43" s="101"/>
      <c r="L43" s="101"/>
      <c r="M43" s="101"/>
      <c r="N43" s="101"/>
      <c r="O43" s="101"/>
      <c r="P43" s="101"/>
      <c r="Q43" s="101"/>
      <c r="R43" s="101"/>
      <c r="S43" s="101"/>
    </row>
    <row r="44" spans="1:26" ht="50.1" customHeight="1">
      <c r="A44" s="86" t="s">
        <v>198</v>
      </c>
      <c r="B44" s="91" t="s">
        <v>161</v>
      </c>
      <c r="C44" s="86" t="str">
        <f t="shared" si="0"/>
        <v>Fornecimento de Materiais e Equipamentos (aquisição direta)-AC</v>
      </c>
      <c r="E44" s="90" t="s">
        <v>183</v>
      </c>
      <c r="F44" s="90" t="s">
        <v>183</v>
      </c>
      <c r="G44" s="90" t="s">
        <v>183</v>
      </c>
      <c r="I44" t="s">
        <v>172</v>
      </c>
      <c r="J44" s="537"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44" s="537"/>
      <c r="L44" s="537"/>
      <c r="M44" s="537"/>
      <c r="N44" s="537"/>
      <c r="O44" s="537"/>
      <c r="P44" s="537"/>
      <c r="Q44" s="537"/>
      <c r="R44" s="537"/>
      <c r="S44" s="537"/>
    </row>
    <row r="45" spans="1:26">
      <c r="A45" s="86" t="s">
        <v>198</v>
      </c>
      <c r="B45" s="91" t="s">
        <v>162</v>
      </c>
      <c r="C45" s="86" t="str">
        <f t="shared" si="0"/>
        <v>Fornecimento de Materiais e Equipamentos (aquisição direta)-SG</v>
      </c>
      <c r="E45" s="90" t="s">
        <v>183</v>
      </c>
      <c r="F45" s="90" t="s">
        <v>183</v>
      </c>
      <c r="G45" s="90" t="s">
        <v>183</v>
      </c>
      <c r="I45" t="s">
        <v>172</v>
      </c>
    </row>
    <row r="46" spans="1:26" ht="50.1" hidden="1" customHeight="1">
      <c r="A46" s="86" t="s">
        <v>198</v>
      </c>
      <c r="B46" s="91" t="s">
        <v>163</v>
      </c>
      <c r="C46" s="86" t="str">
        <f t="shared" si="0"/>
        <v>Fornecimento de Materiais e Equipamentos (aquisição direta)-R</v>
      </c>
      <c r="E46" s="90" t="s">
        <v>183</v>
      </c>
      <c r="F46" s="90" t="s">
        <v>183</v>
      </c>
      <c r="G46" s="90" t="s">
        <v>183</v>
      </c>
      <c r="I46" t="s">
        <v>172</v>
      </c>
      <c r="J46" s="537"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6" s="537"/>
      <c r="L46" s="537"/>
      <c r="M46" s="537"/>
      <c r="N46" s="537"/>
      <c r="O46" s="537"/>
      <c r="P46" s="537"/>
      <c r="Q46" s="537"/>
      <c r="R46" s="537"/>
      <c r="S46" s="537"/>
    </row>
    <row r="47" spans="1:26" hidden="1">
      <c r="A47" s="86" t="s">
        <v>198</v>
      </c>
      <c r="B47" s="91" t="s">
        <v>164</v>
      </c>
      <c r="C47" s="86" t="str">
        <f t="shared" si="0"/>
        <v>Fornecimento de Materiais e Equipamentos (aquisição direta)-DF</v>
      </c>
      <c r="E47" s="90" t="s">
        <v>183</v>
      </c>
      <c r="F47" s="90" t="s">
        <v>183</v>
      </c>
      <c r="G47" s="90" t="s">
        <v>183</v>
      </c>
      <c r="I47" t="s">
        <v>172</v>
      </c>
    </row>
    <row r="48" spans="1:26">
      <c r="A48" s="86" t="s">
        <v>198</v>
      </c>
      <c r="B48" s="91" t="s">
        <v>165</v>
      </c>
      <c r="C48" s="86" t="str">
        <f t="shared" si="0"/>
        <v>Fornecimento de Materiais e Equipamentos (aquisição direta)-L</v>
      </c>
      <c r="E48" s="90" t="s">
        <v>183</v>
      </c>
      <c r="F48" s="90" t="s">
        <v>183</v>
      </c>
      <c r="G48" s="90" t="s">
        <v>183</v>
      </c>
      <c r="I48" t="s">
        <v>172</v>
      </c>
      <c r="J48" s="86" t="s">
        <v>199</v>
      </c>
    </row>
    <row r="49" spans="1:19" ht="25.5">
      <c r="A49" s="86" t="s">
        <v>198</v>
      </c>
      <c r="B49" s="91" t="s">
        <v>167</v>
      </c>
      <c r="C49" s="86" t="str">
        <f t="shared" si="0"/>
        <v>Fornecimento de Materiais e Equipamentos (aquisição direta)-BDI PAD</v>
      </c>
      <c r="E49" s="90" t="s">
        <v>183</v>
      </c>
      <c r="F49" s="90" t="s">
        <v>183</v>
      </c>
      <c r="G49" s="90" t="s">
        <v>183</v>
      </c>
      <c r="I49" t="s">
        <v>172</v>
      </c>
      <c r="J49" s="558"/>
      <c r="K49" s="558"/>
      <c r="L49" s="558"/>
      <c r="M49" s="558"/>
      <c r="N49" s="558"/>
      <c r="O49" s="558"/>
      <c r="P49" s="558"/>
      <c r="Q49" s="558"/>
      <c r="R49" s="558"/>
      <c r="S49" s="558"/>
    </row>
    <row r="50" spans="1:19">
      <c r="A50" s="86" t="s">
        <v>200</v>
      </c>
      <c r="B50" s="89" t="s">
        <v>201</v>
      </c>
      <c r="C50" s="86" t="str">
        <f t="shared" si="0"/>
        <v>Estudos e Projetos, Planos e Gerenciamento e outros correlatos-K1</v>
      </c>
      <c r="E50" s="90" t="s">
        <v>183</v>
      </c>
      <c r="F50" s="90" t="s">
        <v>183</v>
      </c>
      <c r="G50" s="90" t="s">
        <v>183</v>
      </c>
      <c r="I50" t="s">
        <v>172</v>
      </c>
    </row>
    <row r="51" spans="1:19">
      <c r="A51" s="86" t="str">
        <f>A50</f>
        <v>Estudos e Projetos, Planos e Gerenciamento e outros correlatos</v>
      </c>
      <c r="B51" s="89" t="s">
        <v>202</v>
      </c>
      <c r="C51" s="86" t="str">
        <f t="shared" si="0"/>
        <v>Estudos e Projetos, Planos e Gerenciamento e outros correlatos-K2</v>
      </c>
      <c r="E51" s="90" t="s">
        <v>183</v>
      </c>
      <c r="F51" s="90">
        <v>0.2</v>
      </c>
      <c r="G51" s="90" t="s">
        <v>183</v>
      </c>
      <c r="I51" t="s">
        <v>172</v>
      </c>
      <c r="J51" s="559" t="str">
        <f>Import.Município</f>
        <v>TORITAMA/PERNAMBUCO</v>
      </c>
      <c r="K51" s="559"/>
      <c r="L51" s="559"/>
      <c r="M51" s="559"/>
      <c r="P51" s="560"/>
      <c r="Q51" s="560"/>
      <c r="R51" s="560"/>
      <c r="S51" s="560"/>
    </row>
    <row r="52" spans="1:19">
      <c r="A52" s="86" t="str">
        <f>A51</f>
        <v>Estudos e Projetos, Planos e Gerenciamento e outros correlatos</v>
      </c>
      <c r="B52" s="89"/>
      <c r="C52" s="86" t="str">
        <f t="shared" si="0"/>
        <v>Estudos e Projetos, Planos e Gerenciamento e outros correlatos-</v>
      </c>
      <c r="E52" s="90" t="s">
        <v>183</v>
      </c>
      <c r="F52" s="90" t="s">
        <v>183</v>
      </c>
      <c r="G52" s="90" t="s">
        <v>183</v>
      </c>
      <c r="I52" t="s">
        <v>172</v>
      </c>
      <c r="J52" s="535" t="s">
        <v>203</v>
      </c>
      <c r="K52" s="535"/>
      <c r="L52" s="535"/>
      <c r="M52" s="535"/>
      <c r="O52" s="102"/>
      <c r="P52" s="103" t="s">
        <v>293</v>
      </c>
      <c r="Q52" s="104"/>
      <c r="R52" s="104"/>
      <c r="S52" s="104"/>
    </row>
    <row r="53" spans="1:19" ht="30" customHeight="1">
      <c r="A53" s="86" t="str">
        <f>A52</f>
        <v>Estudos e Projetos, Planos e Gerenciamento e outros correlatos</v>
      </c>
      <c r="B53" s="89"/>
      <c r="C53" s="86" t="str">
        <f t="shared" si="0"/>
        <v>Estudos e Projetos, Planos e Gerenciamento e outros correlatos-</v>
      </c>
      <c r="E53" s="90" t="s">
        <v>183</v>
      </c>
      <c r="F53" s="90" t="s">
        <v>183</v>
      </c>
      <c r="G53" s="90" t="s">
        <v>183</v>
      </c>
      <c r="I53" t="s">
        <v>172</v>
      </c>
    </row>
    <row r="54" spans="1:19">
      <c r="A54" s="86" t="str">
        <f>A53</f>
        <v>Estudos e Projetos, Planos e Gerenciamento e outros correlatos</v>
      </c>
      <c r="B54" s="89" t="s">
        <v>204</v>
      </c>
      <c r="C54" s="86" t="str">
        <f t="shared" si="0"/>
        <v>Estudos e Projetos, Planos e Gerenciamento e outros correlatos-K3</v>
      </c>
      <c r="E54" s="90" t="s">
        <v>183</v>
      </c>
      <c r="F54" s="90">
        <v>0.12</v>
      </c>
      <c r="G54" s="90" t="s">
        <v>183</v>
      </c>
      <c r="I54" t="s">
        <v>172</v>
      </c>
      <c r="J54" s="536"/>
      <c r="K54" s="536"/>
      <c r="L54" s="536"/>
      <c r="M54" s="536"/>
      <c r="N54" s="105"/>
    </row>
    <row r="55" spans="1:19" ht="12.75" customHeight="1">
      <c r="A55" s="86" t="str">
        <f>A54</f>
        <v>Estudos e Projetos, Planos e Gerenciamento e outros correlatos</v>
      </c>
      <c r="B55" s="91" t="s">
        <v>167</v>
      </c>
      <c r="C55" s="86" t="str">
        <f t="shared" si="0"/>
        <v>Estudos e Projetos, Planos e Gerenciamento e outros correlatos-BDI PAD</v>
      </c>
      <c r="E55" s="90" t="s">
        <v>183</v>
      </c>
      <c r="F55" s="90" t="s">
        <v>183</v>
      </c>
      <c r="G55" s="90" t="s">
        <v>183</v>
      </c>
      <c r="I55" t="s">
        <v>172</v>
      </c>
      <c r="J55" s="534" t="s">
        <v>294</v>
      </c>
      <c r="K55" s="534"/>
      <c r="L55" s="534"/>
      <c r="M55" s="534"/>
    </row>
    <row r="56" spans="1:19" hidden="1">
      <c r="B56" s="91"/>
      <c r="E56" s="90"/>
      <c r="F56" s="90"/>
      <c r="G56" s="90"/>
      <c r="I56" t="s">
        <v>172</v>
      </c>
      <c r="J56" s="106" t="s">
        <v>295</v>
      </c>
      <c r="K56" s="107">
        <f t="array" ref="K56:K58">Import.RespOrçamento</f>
        <v>0</v>
      </c>
      <c r="L56" s="108"/>
      <c r="M56" s="108"/>
      <c r="N56" s="105"/>
    </row>
    <row r="57" spans="1:19" hidden="1">
      <c r="A57"/>
      <c r="B57"/>
      <c r="C57"/>
      <c r="D57"/>
      <c r="E57"/>
      <c r="F57"/>
      <c r="G57"/>
      <c r="I57" t="s">
        <v>172</v>
      </c>
      <c r="J57" s="106" t="s">
        <v>296</v>
      </c>
      <c r="K57" s="107">
        <v>0</v>
      </c>
      <c r="L57" s="108"/>
      <c r="M57" s="108"/>
      <c r="N57" s="105"/>
    </row>
    <row r="58" spans="1:19" hidden="1">
      <c r="A58"/>
      <c r="B58"/>
      <c r="C58"/>
      <c r="D58"/>
      <c r="E58"/>
      <c r="F58"/>
      <c r="G58"/>
      <c r="I58" t="s">
        <v>172</v>
      </c>
      <c r="J58" s="106" t="s">
        <v>297</v>
      </c>
      <c r="K58" s="107">
        <v>0</v>
      </c>
      <c r="L58" s="108"/>
      <c r="M58" s="108"/>
      <c r="N58" s="105"/>
    </row>
    <row r="59" spans="1:19" hidden="1">
      <c r="A59"/>
      <c r="B59"/>
      <c r="C59"/>
      <c r="D59"/>
      <c r="E59"/>
      <c r="F59"/>
      <c r="G59"/>
      <c r="I59" t="s">
        <v>172</v>
      </c>
      <c r="J59" s="106"/>
      <c r="K59" s="109"/>
      <c r="L59" s="108"/>
      <c r="M59" s="108"/>
      <c r="N59" s="105"/>
    </row>
    <row r="60" spans="1:19" ht="15.75" hidden="1">
      <c r="A60"/>
      <c r="B60"/>
      <c r="C60"/>
      <c r="D60"/>
      <c r="E60"/>
      <c r="F60"/>
      <c r="G60"/>
      <c r="I60" t="str">
        <f ca="1">IF($S$75=0,"","F")</f>
        <v/>
      </c>
      <c r="J60" s="561" t="s">
        <v>298</v>
      </c>
      <c r="K60" s="561"/>
      <c r="L60" s="561"/>
      <c r="M60" s="561"/>
      <c r="N60" s="561"/>
      <c r="O60" s="561"/>
      <c r="P60" s="561"/>
      <c r="Q60" s="561"/>
      <c r="R60" s="561"/>
      <c r="S60" s="561"/>
    </row>
    <row r="61" spans="1:19" hidden="1">
      <c r="A61"/>
      <c r="B61"/>
      <c r="C61"/>
      <c r="D61"/>
      <c r="E61"/>
      <c r="F61"/>
      <c r="G61"/>
      <c r="I61" t="str">
        <f t="shared" ref="I61:I99" ca="1" si="1">IF($S$75=0,"","F")</f>
        <v/>
      </c>
    </row>
    <row r="62" spans="1:19" hidden="1">
      <c r="A62"/>
      <c r="B62"/>
      <c r="C62"/>
      <c r="D62"/>
      <c r="E62"/>
      <c r="F62"/>
      <c r="G62"/>
      <c r="I62" t="str">
        <f t="shared" ca="1" si="1"/>
        <v/>
      </c>
      <c r="J62" s="549" t="s">
        <v>174</v>
      </c>
      <c r="K62" s="549"/>
      <c r="L62" s="549"/>
      <c r="M62" s="549"/>
      <c r="N62" s="549"/>
      <c r="O62" s="549"/>
      <c r="P62" s="549"/>
      <c r="Q62" s="549"/>
      <c r="R62" s="549"/>
      <c r="S62" s="549"/>
    </row>
    <row r="63" spans="1:19" hidden="1">
      <c r="A63"/>
      <c r="B63"/>
      <c r="C63"/>
      <c r="D63"/>
      <c r="E63"/>
      <c r="F63"/>
      <c r="G63"/>
      <c r="I63" t="str">
        <f t="shared" ca="1" si="1"/>
        <v/>
      </c>
      <c r="J63" s="555" t="s">
        <v>299</v>
      </c>
      <c r="K63" s="555"/>
      <c r="L63" s="555"/>
      <c r="M63" s="555"/>
      <c r="N63" s="555"/>
      <c r="O63" s="555"/>
      <c r="P63" s="555"/>
      <c r="Q63" s="555"/>
      <c r="R63" s="555"/>
      <c r="S63" s="555"/>
    </row>
    <row r="64" spans="1:19" hidden="1">
      <c r="A64"/>
      <c r="B64"/>
      <c r="C64"/>
      <c r="D64"/>
      <c r="E64"/>
      <c r="F64"/>
      <c r="G64"/>
      <c r="I64" t="str">
        <f t="shared" ca="1" si="1"/>
        <v/>
      </c>
    </row>
    <row r="65" spans="1:26" ht="12.75" hidden="1" customHeight="1">
      <c r="A65"/>
      <c r="B65"/>
      <c r="C65"/>
      <c r="D65"/>
      <c r="E65"/>
      <c r="F65"/>
      <c r="G65"/>
      <c r="I65" t="str">
        <f t="shared" ca="1" si="1"/>
        <v/>
      </c>
      <c r="J65" s="556" t="s">
        <v>175</v>
      </c>
      <c r="K65" s="556"/>
      <c r="L65" s="556"/>
      <c r="M65" s="556"/>
      <c r="N65" s="556"/>
      <c r="O65" s="556"/>
      <c r="P65" s="556"/>
      <c r="Q65" s="556"/>
      <c r="R65" s="556" t="s">
        <v>176</v>
      </c>
      <c r="S65" s="551" t="s">
        <v>177</v>
      </c>
      <c r="U65" s="551" t="s">
        <v>178</v>
      </c>
      <c r="V65" s="551"/>
      <c r="W65" s="551"/>
      <c r="X65" s="553" t="s">
        <v>179</v>
      </c>
      <c r="Y65" s="553" t="s">
        <v>180</v>
      </c>
      <c r="Z65" s="553" t="s">
        <v>181</v>
      </c>
    </row>
    <row r="66" spans="1:26" ht="12.75" hidden="1" customHeight="1">
      <c r="A66"/>
      <c r="B66"/>
      <c r="C66"/>
      <c r="D66"/>
      <c r="E66"/>
      <c r="F66"/>
      <c r="G66"/>
      <c r="I66" t="str">
        <f t="shared" ca="1" si="1"/>
        <v/>
      </c>
      <c r="J66" s="556"/>
      <c r="K66" s="556"/>
      <c r="L66" s="556"/>
      <c r="M66" s="556"/>
      <c r="N66" s="556"/>
      <c r="O66" s="556"/>
      <c r="P66" s="556"/>
      <c r="Q66" s="556"/>
      <c r="R66" s="556"/>
      <c r="S66" s="551"/>
      <c r="U66" s="551"/>
      <c r="V66" s="551"/>
      <c r="W66" s="551"/>
      <c r="X66" s="553"/>
      <c r="Y66" s="553"/>
      <c r="Z66" s="553"/>
    </row>
    <row r="67" spans="1:26" ht="15" hidden="1" customHeight="1">
      <c r="A67"/>
      <c r="B67"/>
      <c r="C67"/>
      <c r="D67"/>
      <c r="E67"/>
      <c r="F67"/>
      <c r="G67"/>
      <c r="I67" t="str">
        <f t="shared" ca="1" si="1"/>
        <v/>
      </c>
      <c r="J67" s="542" t="str">
        <f>IF($J$23=$A$152,"Encargos Sociais incidentes sobre a mão de obra","Administração Central")</f>
        <v>Administração Central</v>
      </c>
      <c r="K67" s="542"/>
      <c r="L67" s="542"/>
      <c r="M67" s="542"/>
      <c r="N67" s="542"/>
      <c r="O67" s="542"/>
      <c r="P67" s="542"/>
      <c r="Q67" s="542"/>
      <c r="R67" s="92" t="str">
        <f>IF($J63=$A$152,"K1","AC")</f>
        <v>AC</v>
      </c>
      <c r="S67" s="93"/>
      <c r="U67" s="554" t="s">
        <v>183</v>
      </c>
      <c r="V67" s="554"/>
      <c r="W67" s="554"/>
      <c r="X67" s="94" t="e">
        <f>VLOOKUP(CONCATENATE(J63,"-",R67),$C$2:$G$142,3,FALSE)</f>
        <v>#N/A</v>
      </c>
      <c r="Y67" s="94" t="e">
        <f>VLOOKUP(CONCATENATE(J63,"-",R67),$C$2:$G$142,4,FALSE)</f>
        <v>#N/A</v>
      </c>
      <c r="Z67" s="94" t="e">
        <f>VLOOKUP(CONCATENATE(J63,"-",R67),$C$2:$G$142,5,FALSE)</f>
        <v>#N/A</v>
      </c>
    </row>
    <row r="68" spans="1:26" ht="15" hidden="1" customHeight="1">
      <c r="A68"/>
      <c r="B68"/>
      <c r="C68"/>
      <c r="D68"/>
      <c r="E68"/>
      <c r="F68"/>
      <c r="G68"/>
      <c r="I68" t="str">
        <f t="shared" ca="1" si="1"/>
        <v/>
      </c>
      <c r="J68" s="542" t="str">
        <f>IF($J$23=$A$152,"Administração Central da empresa ou consultoria - overhead","Seguro e Garantia")</f>
        <v>Seguro e Garantia</v>
      </c>
      <c r="K68" s="542"/>
      <c r="L68" s="542"/>
      <c r="M68" s="542"/>
      <c r="N68" s="542"/>
      <c r="O68" s="542"/>
      <c r="P68" s="542"/>
      <c r="Q68" s="542"/>
      <c r="R68" s="92" t="str">
        <f>IF($J63=$A$152,"K2","SG")</f>
        <v>SG</v>
      </c>
      <c r="S68" s="93"/>
      <c r="U68" s="554" t="s">
        <v>183</v>
      </c>
      <c r="V68" s="554"/>
      <c r="W68" s="554"/>
      <c r="X68" s="94" t="e">
        <f>VLOOKUP(CONCATENATE(J63,"-",R68),$C$2:$G$142,3,FALSE)</f>
        <v>#N/A</v>
      </c>
      <c r="Y68" s="94" t="e">
        <f>VLOOKUP(CONCATENATE(J63,"-",R68),$C$2:$G$142,4,FALSE)</f>
        <v>#N/A</v>
      </c>
      <c r="Z68" s="94" t="e">
        <f>VLOOKUP(CONCATENATE(J63,"-",R68),$C$2:$G$142,5,FALSE)</f>
        <v>#N/A</v>
      </c>
    </row>
    <row r="69" spans="1:26" ht="15" hidden="1" customHeight="1">
      <c r="A69"/>
      <c r="B69"/>
      <c r="C69"/>
      <c r="D69"/>
      <c r="E69"/>
      <c r="F69"/>
      <c r="G69"/>
      <c r="I69" t="str">
        <f t="shared" ca="1" si="1"/>
        <v/>
      </c>
      <c r="J69" s="542" t="str">
        <f>IF($J$23=$A$152,"","Risco")</f>
        <v>Risco</v>
      </c>
      <c r="K69" s="542"/>
      <c r="L69" s="542"/>
      <c r="M69" s="542"/>
      <c r="N69" s="542"/>
      <c r="O69" s="542"/>
      <c r="P69" s="542"/>
      <c r="Q69" s="542"/>
      <c r="R69" s="92" t="str">
        <f>IF($J63=$A$152,"","R")</f>
        <v>R</v>
      </c>
      <c r="S69" s="93"/>
      <c r="U69" s="554" t="s">
        <v>183</v>
      </c>
      <c r="V69" s="554"/>
      <c r="W69" s="554"/>
      <c r="X69" s="94" t="e">
        <f>VLOOKUP(CONCATENATE(J63,"-",R69),$C$2:$G$142,3,FALSE)</f>
        <v>#N/A</v>
      </c>
      <c r="Y69" s="94" t="e">
        <f>VLOOKUP(CONCATENATE(J63,"-",R69),$C$2:$G$142,4,FALSE)</f>
        <v>#N/A</v>
      </c>
      <c r="Z69" s="94" t="e">
        <f>VLOOKUP(CONCATENATE(J63,"-",R69),$C$2:$G$142,5,FALSE)</f>
        <v>#N/A</v>
      </c>
    </row>
    <row r="70" spans="1:26" ht="15" hidden="1" customHeight="1">
      <c r="A70"/>
      <c r="B70"/>
      <c r="C70"/>
      <c r="D70"/>
      <c r="E70"/>
      <c r="F70"/>
      <c r="G70"/>
      <c r="I70" t="str">
        <f t="shared" ca="1" si="1"/>
        <v/>
      </c>
      <c r="J70" s="542" t="str">
        <f>IF($J$23=$A$152,"","Despesas Financeiras")</f>
        <v>Despesas Financeiras</v>
      </c>
      <c r="K70" s="542"/>
      <c r="L70" s="542"/>
      <c r="M70" s="542"/>
      <c r="N70" s="542"/>
      <c r="O70" s="542"/>
      <c r="P70" s="542"/>
      <c r="Q70" s="542"/>
      <c r="R70" s="92" t="str">
        <f>IF($J63=$A$152,"","DF")</f>
        <v>DF</v>
      </c>
      <c r="S70" s="93"/>
      <c r="U70" s="554" t="s">
        <v>183</v>
      </c>
      <c r="V70" s="554"/>
      <c r="W70" s="554"/>
      <c r="X70" s="94" t="e">
        <f>VLOOKUP(CONCATENATE(J63,"-",R70),$C$2:$G$142,3,FALSE)</f>
        <v>#N/A</v>
      </c>
      <c r="Y70" s="94" t="e">
        <f>VLOOKUP(CONCATENATE(J63,"-",R70),$C$2:$G$142,4,FALSE)</f>
        <v>#N/A</v>
      </c>
      <c r="Z70" s="94" t="e">
        <f>VLOOKUP(CONCATENATE(J63,"-",R70),$C$2:$G$142,5,FALSE)</f>
        <v>#N/A</v>
      </c>
    </row>
    <row r="71" spans="1:26" ht="15" hidden="1" customHeight="1">
      <c r="A71"/>
      <c r="B71"/>
      <c r="C71"/>
      <c r="D71"/>
      <c r="E71"/>
      <c r="F71"/>
      <c r="G71"/>
      <c r="I71" t="str">
        <f t="shared" ca="1" si="1"/>
        <v/>
      </c>
      <c r="J71" s="542" t="str">
        <f>IF($J$23=$A$152,"Margem bruta da empresa de consultoria","Lucro")</f>
        <v>Lucro</v>
      </c>
      <c r="K71" s="542"/>
      <c r="L71" s="542"/>
      <c r="M71" s="542"/>
      <c r="N71" s="542"/>
      <c r="O71" s="542"/>
      <c r="P71" s="542"/>
      <c r="Q71" s="542"/>
      <c r="R71" s="92" t="str">
        <f>IF($J63=$A$152,"K3","L")</f>
        <v>L</v>
      </c>
      <c r="S71" s="93"/>
      <c r="U71" s="554" t="s">
        <v>183</v>
      </c>
      <c r="V71" s="554"/>
      <c r="W71" s="554"/>
      <c r="X71" s="94" t="e">
        <f>VLOOKUP(CONCATENATE(J63,"-",R71),$C$2:$G$142,3,FALSE)</f>
        <v>#N/A</v>
      </c>
      <c r="Y71" s="94" t="e">
        <f>VLOOKUP(CONCATENATE(J63,"-",R71),$C$2:$G$142,4,FALSE)</f>
        <v>#N/A</v>
      </c>
      <c r="Z71" s="94" t="e">
        <f>VLOOKUP(CONCATENATE(J63,"-",R71),$C$2:$G$142,5,FALSE)</f>
        <v>#N/A</v>
      </c>
    </row>
    <row r="72" spans="1:26" ht="15" hidden="1" customHeight="1">
      <c r="A72"/>
      <c r="B72"/>
      <c r="C72"/>
      <c r="D72"/>
      <c r="E72"/>
      <c r="F72"/>
      <c r="G72"/>
      <c r="I72" t="str">
        <f t="shared" ca="1" si="1"/>
        <v/>
      </c>
      <c r="J72" s="542" t="s">
        <v>185</v>
      </c>
      <c r="K72" s="542"/>
      <c r="L72" s="542"/>
      <c r="M72" s="542"/>
      <c r="N72" s="542"/>
      <c r="O72" s="542"/>
      <c r="P72" s="542"/>
      <c r="Q72" s="542"/>
      <c r="R72" s="92" t="s">
        <v>186</v>
      </c>
      <c r="S72" s="93"/>
      <c r="U72" s="554" t="s">
        <v>183</v>
      </c>
      <c r="V72" s="554"/>
      <c r="W72" s="554"/>
      <c r="X72" s="94">
        <v>3.6499999999999998E-2</v>
      </c>
      <c r="Y72" s="94">
        <v>3.6499999999999998E-2</v>
      </c>
      <c r="Z72" s="94">
        <v>3.6499999999999998E-2</v>
      </c>
    </row>
    <row r="73" spans="1:26" ht="15" hidden="1" customHeight="1">
      <c r="A73"/>
      <c r="B73"/>
      <c r="C73"/>
      <c r="D73"/>
      <c r="E73"/>
      <c r="F73"/>
      <c r="G73"/>
      <c r="I73" t="str">
        <f t="shared" ca="1" si="1"/>
        <v/>
      </c>
      <c r="J73" s="542" t="s">
        <v>187</v>
      </c>
      <c r="K73" s="542"/>
      <c r="L73" s="542"/>
      <c r="M73" s="542"/>
      <c r="N73" s="542"/>
      <c r="O73" s="542"/>
      <c r="P73" s="542"/>
      <c r="Q73" s="542"/>
      <c r="R73" s="92" t="s">
        <v>188</v>
      </c>
      <c r="S73" s="94">
        <f ca="1">IF(AND($J63&lt;&gt;$A$151,COUNTA(OFFSET(S66,1,0,6))&gt;0),$R$18*$R$17,0)</f>
        <v>0</v>
      </c>
      <c r="U73" s="554" t="s">
        <v>183</v>
      </c>
      <c r="V73" s="554"/>
      <c r="W73" s="554"/>
      <c r="X73" s="94">
        <v>0</v>
      </c>
      <c r="Y73" s="94">
        <v>2.5000000000000001E-2</v>
      </c>
      <c r="Z73" s="94">
        <v>0.05</v>
      </c>
    </row>
    <row r="74" spans="1:26" ht="15" hidden="1" customHeight="1">
      <c r="A74"/>
      <c r="B74"/>
      <c r="C74"/>
      <c r="D74"/>
      <c r="E74"/>
      <c r="F74"/>
      <c r="G74"/>
      <c r="I74" t="str">
        <f t="shared" ca="1" si="1"/>
        <v/>
      </c>
      <c r="J74" s="542" t="s">
        <v>189</v>
      </c>
      <c r="K74" s="542"/>
      <c r="L74" s="542"/>
      <c r="M74" s="542"/>
      <c r="N74" s="542"/>
      <c r="O74" s="542"/>
      <c r="P74" s="542"/>
      <c r="Q74" s="542"/>
      <c r="R74" s="92" t="s">
        <v>190</v>
      </c>
      <c r="S74" s="94">
        <f ca="1">IF(BDI.Opcao&lt;&gt;"Desonerado",0,IF(AND($J63&lt;&gt;$A$151,COUNTA(OFFSET(S66,1,0,6))&gt;0),4.5%,0%))</f>
        <v>0</v>
      </c>
      <c r="U74" s="554" t="s">
        <v>183</v>
      </c>
      <c r="V74" s="554"/>
      <c r="W74" s="554"/>
      <c r="X74" s="95">
        <v>0</v>
      </c>
      <c r="Y74" s="95">
        <v>4.4999999999999998E-2</v>
      </c>
      <c r="Z74" s="95">
        <v>4.4999999999999998E-2</v>
      </c>
    </row>
    <row r="75" spans="1:26" ht="15" hidden="1" customHeight="1">
      <c r="A75"/>
      <c r="B75"/>
      <c r="C75"/>
      <c r="D75"/>
      <c r="E75"/>
      <c r="F75"/>
      <c r="G75"/>
      <c r="I75" t="str">
        <f t="shared" ca="1" si="1"/>
        <v/>
      </c>
      <c r="J75" s="542" t="s">
        <v>191</v>
      </c>
      <c r="K75" s="542"/>
      <c r="L75" s="542"/>
      <c r="M75" s="542"/>
      <c r="N75" s="542"/>
      <c r="O75" s="542"/>
      <c r="P75" s="542"/>
      <c r="Q75" s="542"/>
      <c r="R75" s="96" t="s">
        <v>167</v>
      </c>
      <c r="S75" s="94">
        <f ca="1">IF($J63=$A$151,0,ROUND((((1+S67+S68+S69)*(1+S70)*(1+S71)/(1-(S72+S73)))-1),4))</f>
        <v>0</v>
      </c>
      <c r="U75" s="551" t="e">
        <f ca="1">IF(OR($J$23=$A$152,$J$23=$A$151,AND(S75&gt;=X75,S75&lt;=Z75)),"OK","FORA DO INTERVALO")</f>
        <v>#N/A</v>
      </c>
      <c r="V75" s="551"/>
      <c r="W75" s="551"/>
      <c r="X75" s="94" t="e">
        <f>IF($J63=$A$151,0,VLOOKUP(CONCATENATE($J63,"-",$R75),$C$2:$G$142,3,FALSE))</f>
        <v>#N/A</v>
      </c>
      <c r="Y75" s="94" t="e">
        <f>IF($J63=$A$151,0,VLOOKUP(CONCATENATE($J63,"-",$R75),$C$2:$G$142,4,FALSE))</f>
        <v>#N/A</v>
      </c>
      <c r="Z75" s="94" t="e">
        <f>IF($J63=$A$151,0,VLOOKUP(CONCATENATE($J63,"-",$R75),$C$2:$G$142,5,FALSE))</f>
        <v>#N/A</v>
      </c>
    </row>
    <row r="76" spans="1:26" ht="15" hidden="1" customHeight="1">
      <c r="A76"/>
      <c r="B76"/>
      <c r="C76"/>
      <c r="D76"/>
      <c r="E76"/>
      <c r="F76"/>
      <c r="G76"/>
      <c r="I76" t="str">
        <f t="shared" ca="1" si="1"/>
        <v/>
      </c>
      <c r="J76" s="543" t="s">
        <v>192</v>
      </c>
      <c r="K76" s="543"/>
      <c r="L76" s="543"/>
      <c r="M76" s="543"/>
      <c r="N76" s="543"/>
      <c r="O76" s="543"/>
      <c r="P76" s="543"/>
      <c r="Q76" s="543"/>
      <c r="R76" s="97" t="s">
        <v>193</v>
      </c>
      <c r="S76" s="98">
        <f ca="1">IF($J63=$A$151,0,ROUND((((1+S67+S68+S69)*(1+S70)*(1+S71)/(1-(S72+S73+S74)))-1),4))</f>
        <v>0</v>
      </c>
    </row>
    <row r="77" spans="1:26" ht="25.5" hidden="1" customHeight="1">
      <c r="A77"/>
      <c r="B77"/>
      <c r="C77"/>
      <c r="D77"/>
      <c r="E77"/>
      <c r="F77"/>
      <c r="G77"/>
      <c r="I77" t="str">
        <f t="shared" ca="1" si="1"/>
        <v/>
      </c>
    </row>
    <row r="78" spans="1:26" ht="15.75" hidden="1">
      <c r="A78"/>
      <c r="B78"/>
      <c r="C78"/>
      <c r="D78"/>
      <c r="E78"/>
      <c r="F78"/>
      <c r="G78"/>
      <c r="I78" t="str">
        <f t="shared" ca="1" si="1"/>
        <v/>
      </c>
      <c r="J78" s="99" t="e">
        <f ca="1">IF(U75&lt;&gt;"ok","X","")</f>
        <v>#N/A</v>
      </c>
      <c r="K78" s="538" t="e">
        <f ca="1">IF(U75&lt;&gt;"ok","Anexo: Relatório Técnico Circunstanciado justificando a adoção do percentual de cada parcela do BDI.","")</f>
        <v>#N/A</v>
      </c>
      <c r="L78" s="538"/>
      <c r="M78" s="538"/>
      <c r="N78" s="538"/>
      <c r="O78" s="538"/>
      <c r="P78" s="538"/>
      <c r="Q78" s="538"/>
      <c r="R78" s="538"/>
      <c r="S78" s="538"/>
    </row>
    <row r="79" spans="1:26" hidden="1">
      <c r="A79"/>
      <c r="B79"/>
      <c r="C79"/>
      <c r="D79"/>
      <c r="E79"/>
      <c r="F79"/>
      <c r="G79"/>
      <c r="I79" t="str">
        <f t="shared" ca="1" si="1"/>
        <v/>
      </c>
    </row>
    <row r="80" spans="1:26" hidden="1">
      <c r="A80"/>
      <c r="B80"/>
      <c r="C80"/>
      <c r="D80"/>
      <c r="E80"/>
      <c r="F80"/>
      <c r="G80"/>
      <c r="I80" t="str">
        <f t="shared" ca="1" si="1"/>
        <v/>
      </c>
      <c r="J80" s="539" t="s">
        <v>195</v>
      </c>
      <c r="K80" s="539"/>
      <c r="L80" s="539"/>
      <c r="M80" s="539"/>
      <c r="N80" s="539"/>
      <c r="O80" s="539"/>
      <c r="P80" s="539"/>
      <c r="Q80" s="539"/>
      <c r="R80" s="539"/>
      <c r="S80" s="539"/>
    </row>
    <row r="81" spans="1:19" ht="15.75" hidden="1">
      <c r="A81"/>
      <c r="B81"/>
      <c r="C81"/>
      <c r="D81"/>
      <c r="E81"/>
      <c r="F81"/>
      <c r="G81"/>
      <c r="I81" t="str">
        <f t="shared" ca="1" si="1"/>
        <v/>
      </c>
      <c r="J81" s="100"/>
      <c r="K81" s="100"/>
      <c r="L81" s="100"/>
      <c r="M81" s="540" t="s">
        <v>196</v>
      </c>
      <c r="N81" s="541" t="str">
        <f>IF($J63=$A$152,"(1+K1+K2)*(1+K3)","(1+AC + S + R + G)*(1 + DF)*(1+L)")</f>
        <v>(1+AC + S + R + G)*(1 + DF)*(1+L)</v>
      </c>
      <c r="O81" s="541"/>
      <c r="P81" s="541"/>
      <c r="Q81" s="546" t="s">
        <v>197</v>
      </c>
      <c r="R81" s="100"/>
      <c r="S81" s="100"/>
    </row>
    <row r="82" spans="1:19" ht="15.75" hidden="1">
      <c r="A82"/>
      <c r="B82"/>
      <c r="C82"/>
      <c r="D82"/>
      <c r="E82"/>
      <c r="F82"/>
      <c r="G82"/>
      <c r="I82" t="str">
        <f t="shared" ca="1" si="1"/>
        <v/>
      </c>
      <c r="J82" s="100"/>
      <c r="K82" s="100"/>
      <c r="L82" s="100"/>
      <c r="M82" s="540"/>
      <c r="N82" s="557" t="s">
        <v>292</v>
      </c>
      <c r="O82" s="557"/>
      <c r="P82" s="557"/>
      <c r="Q82" s="546"/>
      <c r="R82" s="100"/>
      <c r="S82" s="100"/>
    </row>
    <row r="83" spans="1:19" ht="15" hidden="1" customHeight="1">
      <c r="A83"/>
      <c r="B83"/>
      <c r="C83"/>
      <c r="D83"/>
      <c r="E83"/>
      <c r="F83"/>
      <c r="G83"/>
      <c r="I83" t="str">
        <f t="shared" ca="1" si="1"/>
        <v/>
      </c>
      <c r="J83" s="100"/>
      <c r="K83" s="100"/>
      <c r="L83" s="100"/>
      <c r="M83" s="110"/>
      <c r="N83" s="111"/>
      <c r="O83" s="111"/>
      <c r="P83" s="111"/>
      <c r="Q83" s="112"/>
      <c r="R83" s="100"/>
      <c r="S83" s="100"/>
    </row>
    <row r="84" spans="1:19" ht="50.1" hidden="1" customHeight="1">
      <c r="A84"/>
      <c r="B84"/>
      <c r="C84"/>
      <c r="D84"/>
      <c r="E84"/>
      <c r="F84"/>
      <c r="G84"/>
      <c r="I84" t="str">
        <f t="shared" ca="1" si="1"/>
        <v/>
      </c>
      <c r="J84" s="537"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84" s="537"/>
      <c r="L84" s="537"/>
      <c r="M84" s="537"/>
      <c r="N84" s="537"/>
      <c r="O84" s="537"/>
      <c r="P84" s="537"/>
      <c r="Q84" s="537"/>
      <c r="R84" s="537"/>
      <c r="S84" s="537"/>
    </row>
    <row r="85" spans="1:19" hidden="1">
      <c r="A85"/>
      <c r="B85"/>
      <c r="C85"/>
      <c r="D85"/>
      <c r="E85"/>
      <c r="F85"/>
      <c r="G85"/>
      <c r="I85" t="str">
        <f t="shared" ca="1" si="1"/>
        <v/>
      </c>
    </row>
    <row r="86" spans="1:19" ht="50.1" hidden="1" customHeight="1">
      <c r="A86"/>
      <c r="B86"/>
      <c r="C86"/>
      <c r="D86"/>
      <c r="E86"/>
      <c r="F86"/>
      <c r="G86"/>
      <c r="I86" t="str">
        <f t="shared" ca="1" si="1"/>
        <v/>
      </c>
      <c r="J86" s="537"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86" s="537"/>
      <c r="L86" s="537"/>
      <c r="M86" s="537"/>
      <c r="N86" s="537"/>
      <c r="O86" s="537"/>
      <c r="P86" s="537"/>
      <c r="Q86" s="537"/>
      <c r="R86" s="537"/>
      <c r="S86" s="537"/>
    </row>
    <row r="87" spans="1:19" hidden="1">
      <c r="A87"/>
      <c r="B87"/>
      <c r="C87"/>
      <c r="D87"/>
      <c r="E87"/>
      <c r="F87"/>
      <c r="G87"/>
      <c r="I87" t="str">
        <f t="shared" ca="1" si="1"/>
        <v/>
      </c>
    </row>
    <row r="88" spans="1:19" hidden="1">
      <c r="A88"/>
      <c r="B88"/>
      <c r="C88"/>
      <c r="D88"/>
      <c r="E88"/>
      <c r="F88"/>
      <c r="G88"/>
      <c r="I88" t="str">
        <f t="shared" ca="1" si="1"/>
        <v/>
      </c>
      <c r="J88" s="86" t="s">
        <v>199</v>
      </c>
    </row>
    <row r="89" spans="1:19" ht="99.95" hidden="1" customHeight="1">
      <c r="A89"/>
      <c r="B89"/>
      <c r="C89"/>
      <c r="D89"/>
      <c r="E89"/>
      <c r="F89"/>
      <c r="G89"/>
      <c r="I89" t="str">
        <f t="shared" ca="1" si="1"/>
        <v/>
      </c>
      <c r="J89" s="558"/>
      <c r="K89" s="558"/>
      <c r="L89" s="558"/>
      <c r="M89" s="558"/>
      <c r="N89" s="558"/>
      <c r="O89" s="558"/>
      <c r="P89" s="558"/>
      <c r="Q89" s="558"/>
      <c r="R89" s="558"/>
      <c r="S89" s="558"/>
    </row>
    <row r="90" spans="1:19" hidden="1">
      <c r="A90"/>
      <c r="B90"/>
      <c r="C90"/>
      <c r="D90"/>
      <c r="E90"/>
      <c r="F90"/>
      <c r="G90"/>
      <c r="I90" t="str">
        <f t="shared" ca="1" si="1"/>
        <v/>
      </c>
    </row>
    <row r="91" spans="1:19" hidden="1">
      <c r="A91"/>
      <c r="B91"/>
      <c r="C91"/>
      <c r="D91"/>
      <c r="E91"/>
      <c r="F91"/>
      <c r="G91"/>
      <c r="I91" t="str">
        <f t="shared" ca="1" si="1"/>
        <v/>
      </c>
      <c r="J91" s="559" t="str">
        <f>Import.Município</f>
        <v>TORITAMA/PERNAMBUCO</v>
      </c>
      <c r="K91" s="559"/>
      <c r="L91" s="559"/>
      <c r="M91" s="559"/>
      <c r="P91" s="560">
        <f>[1]DADOS!$F$25</f>
        <v>44392</v>
      </c>
      <c r="Q91" s="560"/>
      <c r="R91" s="560"/>
      <c r="S91" s="560"/>
    </row>
    <row r="92" spans="1:19" hidden="1">
      <c r="A92"/>
      <c r="B92"/>
      <c r="C92"/>
      <c r="D92"/>
      <c r="E92"/>
      <c r="F92"/>
      <c r="G92"/>
      <c r="I92" t="str">
        <f t="shared" ca="1" si="1"/>
        <v/>
      </c>
      <c r="J92" s="535" t="s">
        <v>203</v>
      </c>
      <c r="K92" s="535"/>
      <c r="L92" s="535"/>
      <c r="M92" s="535"/>
      <c r="O92" s="102"/>
      <c r="P92" s="103" t="s">
        <v>293</v>
      </c>
      <c r="Q92" s="104"/>
      <c r="R92" s="104"/>
      <c r="S92" s="104"/>
    </row>
    <row r="93" spans="1:19" ht="30" hidden="1" customHeight="1">
      <c r="A93"/>
      <c r="B93"/>
      <c r="C93"/>
      <c r="D93"/>
      <c r="E93"/>
      <c r="F93"/>
      <c r="G93"/>
      <c r="I93" t="str">
        <f t="shared" ca="1" si="1"/>
        <v/>
      </c>
    </row>
    <row r="94" spans="1:19" hidden="1">
      <c r="A94"/>
      <c r="B94"/>
      <c r="C94"/>
      <c r="D94"/>
      <c r="E94"/>
      <c r="F94"/>
      <c r="G94"/>
      <c r="I94" t="str">
        <f t="shared" ca="1" si="1"/>
        <v/>
      </c>
      <c r="J94" s="536"/>
      <c r="K94" s="536"/>
      <c r="L94" s="536"/>
      <c r="M94" s="536"/>
      <c r="N94" s="105"/>
    </row>
    <row r="95" spans="1:19" hidden="1">
      <c r="A95"/>
      <c r="B95"/>
      <c r="C95"/>
      <c r="D95"/>
      <c r="E95"/>
      <c r="F95"/>
      <c r="G95"/>
      <c r="I95" t="str">
        <f t="shared" ca="1" si="1"/>
        <v/>
      </c>
      <c r="J95" s="534" t="s">
        <v>294</v>
      </c>
      <c r="K95" s="534"/>
      <c r="L95" s="534"/>
      <c r="M95" s="534"/>
    </row>
    <row r="96" spans="1:19" hidden="1">
      <c r="A96"/>
      <c r="B96"/>
      <c r="C96"/>
      <c r="D96"/>
      <c r="E96"/>
      <c r="F96"/>
      <c r="G96"/>
      <c r="I96" t="str">
        <f t="shared" ca="1" si="1"/>
        <v/>
      </c>
      <c r="J96" s="106" t="s">
        <v>295</v>
      </c>
      <c r="K96" s="107">
        <f t="array" ref="K96:K98">Import.RespOrçamento</f>
        <v>0</v>
      </c>
      <c r="L96" s="108"/>
      <c r="M96" s="108"/>
      <c r="N96" s="105"/>
    </row>
    <row r="97" spans="1:26" hidden="1">
      <c r="A97"/>
      <c r="B97"/>
      <c r="C97"/>
      <c r="D97"/>
      <c r="E97"/>
      <c r="F97"/>
      <c r="G97"/>
      <c r="I97" t="str">
        <f t="shared" ca="1" si="1"/>
        <v/>
      </c>
      <c r="J97" s="106" t="s">
        <v>296</v>
      </c>
      <c r="K97" s="107">
        <v>0</v>
      </c>
      <c r="L97" s="108"/>
      <c r="M97" s="108"/>
      <c r="N97" s="105"/>
    </row>
    <row r="98" spans="1:26" hidden="1">
      <c r="A98"/>
      <c r="B98"/>
      <c r="C98"/>
      <c r="D98"/>
      <c r="E98"/>
      <c r="F98"/>
      <c r="G98"/>
      <c r="I98" t="str">
        <f t="shared" ca="1" si="1"/>
        <v/>
      </c>
      <c r="J98" s="106" t="s">
        <v>297</v>
      </c>
      <c r="K98" s="107">
        <v>0</v>
      </c>
      <c r="L98" s="108"/>
      <c r="M98" s="108"/>
      <c r="N98" s="105"/>
    </row>
    <row r="99" spans="1:26" hidden="1">
      <c r="A99"/>
      <c r="B99"/>
      <c r="C99"/>
      <c r="D99"/>
      <c r="E99"/>
      <c r="F99"/>
      <c r="G99"/>
      <c r="I99" t="str">
        <f t="shared" ca="1" si="1"/>
        <v/>
      </c>
      <c r="J99" s="106"/>
      <c r="K99" s="109"/>
      <c r="L99" s="108"/>
      <c r="M99" s="108"/>
      <c r="N99" s="105"/>
    </row>
    <row r="100" spans="1:26" ht="15.75" hidden="1">
      <c r="A100"/>
      <c r="B100"/>
      <c r="C100"/>
      <c r="D100"/>
      <c r="E100"/>
      <c r="F100"/>
      <c r="G100"/>
      <c r="I100" t="str">
        <f ca="1">IF($S$115=0,"","F")</f>
        <v/>
      </c>
      <c r="J100" s="561" t="s">
        <v>300</v>
      </c>
      <c r="K100" s="561"/>
      <c r="L100" s="561"/>
      <c r="M100" s="561"/>
      <c r="N100" s="561"/>
      <c r="O100" s="561"/>
      <c r="P100" s="561"/>
      <c r="Q100" s="561"/>
      <c r="R100" s="561"/>
      <c r="S100" s="561"/>
    </row>
    <row r="101" spans="1:26" hidden="1">
      <c r="A101"/>
      <c r="B101"/>
      <c r="C101"/>
      <c r="D101"/>
      <c r="E101"/>
      <c r="F101"/>
      <c r="G101"/>
      <c r="I101" t="str">
        <f t="shared" ref="I101:I138" ca="1" si="2">IF($S$115=0,"","F")</f>
        <v/>
      </c>
    </row>
    <row r="102" spans="1:26" hidden="1">
      <c r="A102"/>
      <c r="B102"/>
      <c r="C102"/>
      <c r="D102"/>
      <c r="E102"/>
      <c r="F102"/>
      <c r="G102"/>
      <c r="I102" t="str">
        <f t="shared" ca="1" si="2"/>
        <v/>
      </c>
      <c r="J102" s="549" t="s">
        <v>174</v>
      </c>
      <c r="K102" s="549"/>
      <c r="L102" s="549"/>
      <c r="M102" s="549"/>
      <c r="N102" s="549"/>
      <c r="O102" s="549"/>
      <c r="P102" s="549"/>
      <c r="Q102" s="549"/>
      <c r="R102" s="549"/>
      <c r="S102" s="549"/>
    </row>
    <row r="103" spans="1:26" hidden="1">
      <c r="A103"/>
      <c r="B103"/>
      <c r="C103"/>
      <c r="D103"/>
      <c r="E103"/>
      <c r="F103"/>
      <c r="G103"/>
      <c r="I103" t="str">
        <f t="shared" ca="1" si="2"/>
        <v/>
      </c>
      <c r="J103" s="555" t="s">
        <v>299</v>
      </c>
      <c r="K103" s="555"/>
      <c r="L103" s="555"/>
      <c r="M103" s="555"/>
      <c r="N103" s="555"/>
      <c r="O103" s="555"/>
      <c r="P103" s="555"/>
      <c r="Q103" s="555"/>
      <c r="R103" s="555"/>
      <c r="S103" s="555"/>
    </row>
    <row r="104" spans="1:26" hidden="1">
      <c r="A104"/>
      <c r="B104"/>
      <c r="C104"/>
      <c r="D104"/>
      <c r="E104"/>
      <c r="F104"/>
      <c r="G104"/>
      <c r="I104" t="str">
        <f t="shared" ca="1" si="2"/>
        <v/>
      </c>
    </row>
    <row r="105" spans="1:26" ht="12.75" hidden="1" customHeight="1">
      <c r="A105"/>
      <c r="B105"/>
      <c r="C105"/>
      <c r="D105"/>
      <c r="E105"/>
      <c r="F105"/>
      <c r="G105"/>
      <c r="I105" t="str">
        <f t="shared" ca="1" si="2"/>
        <v/>
      </c>
      <c r="J105" s="556" t="s">
        <v>175</v>
      </c>
      <c r="K105" s="556"/>
      <c r="L105" s="556"/>
      <c r="M105" s="556"/>
      <c r="N105" s="556"/>
      <c r="O105" s="556"/>
      <c r="P105" s="556"/>
      <c r="Q105" s="556"/>
      <c r="R105" s="556" t="s">
        <v>176</v>
      </c>
      <c r="S105" s="551" t="s">
        <v>177</v>
      </c>
      <c r="U105" s="551" t="s">
        <v>178</v>
      </c>
      <c r="V105" s="551"/>
      <c r="W105" s="551"/>
      <c r="X105" s="553" t="s">
        <v>179</v>
      </c>
      <c r="Y105" s="553" t="s">
        <v>180</v>
      </c>
      <c r="Z105" s="553" t="s">
        <v>181</v>
      </c>
    </row>
    <row r="106" spans="1:26" ht="12.75" hidden="1" customHeight="1">
      <c r="A106"/>
      <c r="B106"/>
      <c r="C106"/>
      <c r="D106"/>
      <c r="E106"/>
      <c r="F106"/>
      <c r="G106"/>
      <c r="I106" t="str">
        <f t="shared" ca="1" si="2"/>
        <v/>
      </c>
      <c r="J106" s="556"/>
      <c r="K106" s="556"/>
      <c r="L106" s="556"/>
      <c r="M106" s="556"/>
      <c r="N106" s="556"/>
      <c r="O106" s="556"/>
      <c r="P106" s="556"/>
      <c r="Q106" s="556"/>
      <c r="R106" s="556"/>
      <c r="S106" s="551"/>
      <c r="U106" s="551"/>
      <c r="V106" s="551"/>
      <c r="W106" s="551"/>
      <c r="X106" s="553"/>
      <c r="Y106" s="553"/>
      <c r="Z106" s="553"/>
    </row>
    <row r="107" spans="1:26" ht="15" hidden="1" customHeight="1">
      <c r="A107"/>
      <c r="B107"/>
      <c r="C107"/>
      <c r="D107"/>
      <c r="E107"/>
      <c r="F107"/>
      <c r="G107"/>
      <c r="I107" t="str">
        <f t="shared" ca="1" si="2"/>
        <v/>
      </c>
      <c r="J107" s="542" t="str">
        <f>IF($J$23=$A$152,"Encargos Sociais incidentes sobre a mão de obra","Administração Central")</f>
        <v>Administração Central</v>
      </c>
      <c r="K107" s="542"/>
      <c r="L107" s="542"/>
      <c r="M107" s="542"/>
      <c r="N107" s="542"/>
      <c r="O107" s="542"/>
      <c r="P107" s="542"/>
      <c r="Q107" s="542"/>
      <c r="R107" s="92" t="str">
        <f>IF($J103=$A$152,"K1","AC")</f>
        <v>AC</v>
      </c>
      <c r="S107" s="93"/>
      <c r="U107" s="554" t="s">
        <v>183</v>
      </c>
      <c r="V107" s="554"/>
      <c r="W107" s="554"/>
      <c r="X107" s="94" t="e">
        <f>VLOOKUP(CONCATENATE(J103,"-",R107),$C$2:$G$142,3,FALSE)</f>
        <v>#N/A</v>
      </c>
      <c r="Y107" s="94" t="e">
        <f>VLOOKUP(CONCATENATE(J103,"-",R107),$C$2:$G$142,4,FALSE)</f>
        <v>#N/A</v>
      </c>
      <c r="Z107" s="94" t="e">
        <f>VLOOKUP(CONCATENATE(J103,"-",R107),$C$2:$G$142,5,FALSE)</f>
        <v>#N/A</v>
      </c>
    </row>
    <row r="108" spans="1:26" ht="15" hidden="1" customHeight="1">
      <c r="A108"/>
      <c r="B108"/>
      <c r="C108"/>
      <c r="D108"/>
      <c r="E108"/>
      <c r="F108"/>
      <c r="G108"/>
      <c r="I108" t="str">
        <f t="shared" ca="1" si="2"/>
        <v/>
      </c>
      <c r="J108" s="542" t="str">
        <f>IF($J$23=$A$152,"Administração Central da empresa ou consultoria - overhead","Seguro e Garantia")</f>
        <v>Seguro e Garantia</v>
      </c>
      <c r="K108" s="542"/>
      <c r="L108" s="542"/>
      <c r="M108" s="542"/>
      <c r="N108" s="542"/>
      <c r="O108" s="542"/>
      <c r="P108" s="542"/>
      <c r="Q108" s="542"/>
      <c r="R108" s="92" t="str">
        <f>IF($J103=$A$152,"K2","SG")</f>
        <v>SG</v>
      </c>
      <c r="S108" s="93"/>
      <c r="U108" s="554" t="s">
        <v>183</v>
      </c>
      <c r="V108" s="554"/>
      <c r="W108" s="554"/>
      <c r="X108" s="94" t="e">
        <f>VLOOKUP(CONCATENATE(J103,"-",R108),$C$2:$G$142,3,FALSE)</f>
        <v>#N/A</v>
      </c>
      <c r="Y108" s="94" t="e">
        <f>VLOOKUP(CONCATENATE(J103,"-",R108),$C$2:$G$142,4,FALSE)</f>
        <v>#N/A</v>
      </c>
      <c r="Z108" s="94" t="e">
        <f>VLOOKUP(CONCATENATE(J103,"-",R108),$C$2:$G$142,5,FALSE)</f>
        <v>#N/A</v>
      </c>
    </row>
    <row r="109" spans="1:26" ht="15" hidden="1" customHeight="1">
      <c r="A109"/>
      <c r="B109"/>
      <c r="C109"/>
      <c r="D109"/>
      <c r="E109"/>
      <c r="F109"/>
      <c r="G109"/>
      <c r="I109" t="str">
        <f t="shared" ca="1" si="2"/>
        <v/>
      </c>
      <c r="J109" s="542" t="str">
        <f>IF($J$23=$A$152,"","Risco")</f>
        <v>Risco</v>
      </c>
      <c r="K109" s="542"/>
      <c r="L109" s="542"/>
      <c r="M109" s="542"/>
      <c r="N109" s="542"/>
      <c r="O109" s="542"/>
      <c r="P109" s="542"/>
      <c r="Q109" s="542"/>
      <c r="R109" s="92" t="str">
        <f>IF($J103=$A$152,"","R")</f>
        <v>R</v>
      </c>
      <c r="S109" s="93"/>
      <c r="U109" s="554" t="s">
        <v>183</v>
      </c>
      <c r="V109" s="554"/>
      <c r="W109" s="554"/>
      <c r="X109" s="94" t="e">
        <f>VLOOKUP(CONCATENATE(J103,"-",R109),$C$2:$G$142,3,FALSE)</f>
        <v>#N/A</v>
      </c>
      <c r="Y109" s="94" t="e">
        <f>VLOOKUP(CONCATENATE(J103,"-",R109),$C$2:$G$142,4,FALSE)</f>
        <v>#N/A</v>
      </c>
      <c r="Z109" s="94" t="e">
        <f>VLOOKUP(CONCATENATE(J103,"-",R109),$C$2:$G$142,5,FALSE)</f>
        <v>#N/A</v>
      </c>
    </row>
    <row r="110" spans="1:26" ht="15" hidden="1" customHeight="1">
      <c r="A110"/>
      <c r="B110"/>
      <c r="C110"/>
      <c r="D110"/>
      <c r="E110"/>
      <c r="F110"/>
      <c r="G110"/>
      <c r="I110" t="str">
        <f t="shared" ca="1" si="2"/>
        <v/>
      </c>
      <c r="J110" s="542" t="str">
        <f>IF($J$23=$A$152,"","Despesas Financeiras")</f>
        <v>Despesas Financeiras</v>
      </c>
      <c r="K110" s="542"/>
      <c r="L110" s="542"/>
      <c r="M110" s="542"/>
      <c r="N110" s="542"/>
      <c r="O110" s="542"/>
      <c r="P110" s="542"/>
      <c r="Q110" s="542"/>
      <c r="R110" s="92" t="str">
        <f>IF($J103=$A$152,"","DF")</f>
        <v>DF</v>
      </c>
      <c r="S110" s="93"/>
      <c r="U110" s="554" t="s">
        <v>183</v>
      </c>
      <c r="V110" s="554"/>
      <c r="W110" s="554"/>
      <c r="X110" s="94" t="e">
        <f>VLOOKUP(CONCATENATE(J103,"-",R110),$C$2:$G$142,3,FALSE)</f>
        <v>#N/A</v>
      </c>
      <c r="Y110" s="94" t="e">
        <f>VLOOKUP(CONCATENATE(J103,"-",R110),$C$2:$G$142,4,FALSE)</f>
        <v>#N/A</v>
      </c>
      <c r="Z110" s="94" t="e">
        <f>VLOOKUP(CONCATENATE(J103,"-",R110),$C$2:$G$142,5,FALSE)</f>
        <v>#N/A</v>
      </c>
    </row>
    <row r="111" spans="1:26" ht="15" hidden="1" customHeight="1">
      <c r="A111"/>
      <c r="B111"/>
      <c r="C111"/>
      <c r="D111"/>
      <c r="E111"/>
      <c r="F111"/>
      <c r="G111"/>
      <c r="I111" t="str">
        <f t="shared" ca="1" si="2"/>
        <v/>
      </c>
      <c r="J111" s="542" t="str">
        <f>IF($J$23=$A$152,"Margem bruta da empresa de consultoria","Lucro")</f>
        <v>Lucro</v>
      </c>
      <c r="K111" s="542"/>
      <c r="L111" s="542"/>
      <c r="M111" s="542"/>
      <c r="N111" s="542"/>
      <c r="O111" s="542"/>
      <c r="P111" s="542"/>
      <c r="Q111" s="542"/>
      <c r="R111" s="92" t="str">
        <f>IF($J103=$A$152,"K3","L")</f>
        <v>L</v>
      </c>
      <c r="S111" s="93"/>
      <c r="U111" s="554" t="s">
        <v>183</v>
      </c>
      <c r="V111" s="554"/>
      <c r="W111" s="554"/>
      <c r="X111" s="94" t="e">
        <f>VLOOKUP(CONCATENATE(J103,"-",R111),$C$2:$G$142,3,FALSE)</f>
        <v>#N/A</v>
      </c>
      <c r="Y111" s="94" t="e">
        <f>VLOOKUP(CONCATENATE(J103,"-",R111),$C$2:$G$142,4,FALSE)</f>
        <v>#N/A</v>
      </c>
      <c r="Z111" s="94" t="e">
        <f>VLOOKUP(CONCATENATE(J103,"-",R111),$C$2:$G$142,5,FALSE)</f>
        <v>#N/A</v>
      </c>
    </row>
    <row r="112" spans="1:26" ht="15" hidden="1" customHeight="1">
      <c r="A112"/>
      <c r="B112"/>
      <c r="C112"/>
      <c r="D112"/>
      <c r="E112"/>
      <c r="F112"/>
      <c r="G112"/>
      <c r="I112" t="str">
        <f t="shared" ca="1" si="2"/>
        <v/>
      </c>
      <c r="J112" s="542" t="s">
        <v>185</v>
      </c>
      <c r="K112" s="542"/>
      <c r="L112" s="542"/>
      <c r="M112" s="542"/>
      <c r="N112" s="542"/>
      <c r="O112" s="542"/>
      <c r="P112" s="542"/>
      <c r="Q112" s="542"/>
      <c r="R112" s="92" t="s">
        <v>186</v>
      </c>
      <c r="S112" s="93"/>
      <c r="U112" s="554" t="s">
        <v>183</v>
      </c>
      <c r="V112" s="554"/>
      <c r="W112" s="554"/>
      <c r="X112" s="94">
        <v>3.6499999999999998E-2</v>
      </c>
      <c r="Y112" s="94">
        <v>3.6499999999999998E-2</v>
      </c>
      <c r="Z112" s="94">
        <v>3.6499999999999998E-2</v>
      </c>
    </row>
    <row r="113" spans="1:26" ht="15" hidden="1" customHeight="1">
      <c r="A113"/>
      <c r="B113"/>
      <c r="C113"/>
      <c r="D113"/>
      <c r="E113"/>
      <c r="F113"/>
      <c r="G113"/>
      <c r="I113" t="str">
        <f t="shared" ca="1" si="2"/>
        <v/>
      </c>
      <c r="J113" s="542" t="s">
        <v>187</v>
      </c>
      <c r="K113" s="542"/>
      <c r="L113" s="542"/>
      <c r="M113" s="542"/>
      <c r="N113" s="542"/>
      <c r="O113" s="542"/>
      <c r="P113" s="542"/>
      <c r="Q113" s="542"/>
      <c r="R113" s="92" t="s">
        <v>188</v>
      </c>
      <c r="S113" s="94">
        <f ca="1">IF(AND($J103&lt;&gt;$A$151,COUNTA(OFFSET(S106,1,0,6))&gt;0),$R$18*$R$17,0)</f>
        <v>0</v>
      </c>
      <c r="U113" s="554" t="s">
        <v>183</v>
      </c>
      <c r="V113" s="554"/>
      <c r="W113" s="554"/>
      <c r="X113" s="94">
        <v>0</v>
      </c>
      <c r="Y113" s="94">
        <v>2.5000000000000001E-2</v>
      </c>
      <c r="Z113" s="94">
        <v>0.05</v>
      </c>
    </row>
    <row r="114" spans="1:26" ht="15" hidden="1" customHeight="1">
      <c r="A114"/>
      <c r="B114"/>
      <c r="C114"/>
      <c r="D114"/>
      <c r="E114"/>
      <c r="F114"/>
      <c r="G114"/>
      <c r="I114" t="str">
        <f t="shared" ca="1" si="2"/>
        <v/>
      </c>
      <c r="J114" s="542" t="s">
        <v>189</v>
      </c>
      <c r="K114" s="542"/>
      <c r="L114" s="542"/>
      <c r="M114" s="542"/>
      <c r="N114" s="542"/>
      <c r="O114" s="542"/>
      <c r="P114" s="542"/>
      <c r="Q114" s="542"/>
      <c r="R114" s="92" t="s">
        <v>190</v>
      </c>
      <c r="S114" s="94">
        <f ca="1">IF(BDI.Opcao&lt;&gt;"Desonerado",0,IF(AND($J103&lt;&gt;$A$151,COUNTA(OFFSET(S106,1,0,6))&gt;0),4.5%,0%))</f>
        <v>0</v>
      </c>
      <c r="U114" s="554" t="s">
        <v>183</v>
      </c>
      <c r="V114" s="554"/>
      <c r="W114" s="554"/>
      <c r="X114" s="95">
        <v>0</v>
      </c>
      <c r="Y114" s="95">
        <v>4.4999999999999998E-2</v>
      </c>
      <c r="Z114" s="95">
        <v>4.4999999999999998E-2</v>
      </c>
    </row>
    <row r="115" spans="1:26" ht="15" hidden="1" customHeight="1">
      <c r="A115"/>
      <c r="B115"/>
      <c r="C115"/>
      <c r="D115"/>
      <c r="E115"/>
      <c r="F115"/>
      <c r="G115"/>
      <c r="I115" t="str">
        <f t="shared" ca="1" si="2"/>
        <v/>
      </c>
      <c r="J115" s="542" t="s">
        <v>191</v>
      </c>
      <c r="K115" s="542"/>
      <c r="L115" s="542"/>
      <c r="M115" s="542"/>
      <c r="N115" s="542"/>
      <c r="O115" s="542"/>
      <c r="P115" s="542"/>
      <c r="Q115" s="542"/>
      <c r="R115" s="96" t="s">
        <v>167</v>
      </c>
      <c r="S115" s="94">
        <f ca="1">IF($J103=$A$151,0,ROUND((((1+S107+S108+S109)*(1+S110)*(1+S111)/(1-(S112+S113)))-1),4))</f>
        <v>0</v>
      </c>
      <c r="U115" s="551" t="e">
        <f ca="1">IF(OR($J$23=$A$152,$J$23=$A$151,AND(S115&gt;=X115,S115&lt;=Z115)),"OK","FORA DO INTERVALO")</f>
        <v>#N/A</v>
      </c>
      <c r="V115" s="551"/>
      <c r="W115" s="551"/>
      <c r="X115" s="94" t="e">
        <f>IF($J103=$A$151,0,VLOOKUP(CONCATENATE($J103,"-",$R115),$C$2:$G$142,3,FALSE))</f>
        <v>#N/A</v>
      </c>
      <c r="Y115" s="94" t="e">
        <f>IF($J103=$A$151,0,VLOOKUP(CONCATENATE($J103,"-",$R115),$C$2:$G$142,4,FALSE))</f>
        <v>#N/A</v>
      </c>
      <c r="Z115" s="94" t="e">
        <f>IF($J103=$A$151,0,VLOOKUP(CONCATENATE($J103,"-",$R115),$C$2:$G$142,5,FALSE))</f>
        <v>#N/A</v>
      </c>
    </row>
    <row r="116" spans="1:26" ht="15" hidden="1" customHeight="1">
      <c r="A116"/>
      <c r="B116"/>
      <c r="C116"/>
      <c r="D116"/>
      <c r="E116"/>
      <c r="F116"/>
      <c r="G116"/>
      <c r="I116" t="str">
        <f t="shared" ca="1" si="2"/>
        <v/>
      </c>
      <c r="J116" s="543" t="s">
        <v>192</v>
      </c>
      <c r="K116" s="543"/>
      <c r="L116" s="543"/>
      <c r="M116" s="543"/>
      <c r="N116" s="543"/>
      <c r="O116" s="543"/>
      <c r="P116" s="543"/>
      <c r="Q116" s="543"/>
      <c r="R116" s="97" t="s">
        <v>193</v>
      </c>
      <c r="S116" s="98">
        <f ca="1">IF($J103=$A$151,0,ROUND((((1+S107+S108+S109)*(1+S110)*(1+S111)/(1-(S112+S113+S114)))-1),4))</f>
        <v>0</v>
      </c>
    </row>
    <row r="117" spans="1:26" ht="25.5" hidden="1" customHeight="1">
      <c r="A117"/>
      <c r="B117"/>
      <c r="C117"/>
      <c r="D117"/>
      <c r="E117"/>
      <c r="F117"/>
      <c r="G117"/>
      <c r="I117" t="str">
        <f t="shared" ca="1" si="2"/>
        <v/>
      </c>
    </row>
    <row r="118" spans="1:26" ht="15.75" hidden="1">
      <c r="A118"/>
      <c r="B118"/>
      <c r="C118"/>
      <c r="D118"/>
      <c r="E118"/>
      <c r="F118"/>
      <c r="G118"/>
      <c r="I118" t="str">
        <f t="shared" ca="1" si="2"/>
        <v/>
      </c>
      <c r="J118" s="99" t="e">
        <f ca="1">IF(U115&lt;&gt;"ok","X","")</f>
        <v>#N/A</v>
      </c>
      <c r="K118" s="538" t="e">
        <f ca="1">IF(U115&lt;&gt;"ok","Anexo: Relatório Técnico Circunstanciado justificando a adoção do percentual de cada parcela do BDI.","")</f>
        <v>#N/A</v>
      </c>
      <c r="L118" s="538"/>
      <c r="M118" s="538"/>
      <c r="N118" s="538"/>
      <c r="O118" s="538"/>
      <c r="P118" s="538"/>
      <c r="Q118" s="538"/>
      <c r="R118" s="538"/>
      <c r="S118" s="538"/>
    </row>
    <row r="119" spans="1:26" hidden="1">
      <c r="A119"/>
      <c r="B119"/>
      <c r="C119"/>
      <c r="D119"/>
      <c r="E119"/>
      <c r="F119"/>
      <c r="G119"/>
      <c r="I119" t="str">
        <f t="shared" ca="1" si="2"/>
        <v/>
      </c>
    </row>
    <row r="120" spans="1:26" hidden="1">
      <c r="A120"/>
      <c r="B120"/>
      <c r="C120"/>
      <c r="D120"/>
      <c r="E120"/>
      <c r="F120"/>
      <c r="G120"/>
      <c r="I120" t="str">
        <f t="shared" ca="1" si="2"/>
        <v/>
      </c>
      <c r="J120" s="539" t="s">
        <v>195</v>
      </c>
      <c r="K120" s="539"/>
      <c r="L120" s="539"/>
      <c r="M120" s="539"/>
      <c r="N120" s="539"/>
      <c r="O120" s="539"/>
      <c r="P120" s="539"/>
      <c r="Q120" s="539"/>
      <c r="R120" s="539"/>
      <c r="S120" s="539"/>
    </row>
    <row r="121" spans="1:26" ht="15.75" hidden="1">
      <c r="A121"/>
      <c r="B121"/>
      <c r="C121"/>
      <c r="D121"/>
      <c r="E121"/>
      <c r="F121"/>
      <c r="G121"/>
      <c r="I121" t="str">
        <f t="shared" ca="1" si="2"/>
        <v/>
      </c>
      <c r="J121" s="100"/>
      <c r="K121" s="100"/>
      <c r="L121" s="100"/>
      <c r="M121" s="540" t="s">
        <v>196</v>
      </c>
      <c r="N121" s="541" t="str">
        <f>IF($J103=$A$152,"(1+K1+K2)*(1+K3)","(1+AC + S + R + G)*(1 + DF)*(1+L)")</f>
        <v>(1+AC + S + R + G)*(1 + DF)*(1+L)</v>
      </c>
      <c r="O121" s="541"/>
      <c r="P121" s="541"/>
      <c r="Q121" s="546" t="s">
        <v>197</v>
      </c>
      <c r="R121" s="100"/>
      <c r="S121" s="100"/>
    </row>
    <row r="122" spans="1:26" ht="15.75" hidden="1">
      <c r="A122"/>
      <c r="B122"/>
      <c r="C122"/>
      <c r="D122"/>
      <c r="E122"/>
      <c r="F122"/>
      <c r="G122"/>
      <c r="I122" t="str">
        <f t="shared" ca="1" si="2"/>
        <v/>
      </c>
      <c r="J122" s="100"/>
      <c r="K122" s="100"/>
      <c r="L122" s="100"/>
      <c r="M122" s="540"/>
      <c r="N122" s="557" t="s">
        <v>292</v>
      </c>
      <c r="O122" s="557"/>
      <c r="P122" s="557"/>
      <c r="Q122" s="546"/>
      <c r="R122" s="100"/>
      <c r="S122" s="100"/>
    </row>
    <row r="123" spans="1:26" ht="15" hidden="1" customHeight="1">
      <c r="A123"/>
      <c r="B123"/>
      <c r="C123"/>
      <c r="D123"/>
      <c r="E123"/>
      <c r="F123"/>
      <c r="G123"/>
      <c r="I123" t="str">
        <f t="shared" ca="1" si="2"/>
        <v/>
      </c>
      <c r="J123" s="100"/>
      <c r="K123" s="100"/>
      <c r="L123" s="100"/>
      <c r="M123" s="110"/>
      <c r="N123" s="111"/>
      <c r="O123" s="111"/>
      <c r="P123" s="111"/>
      <c r="Q123" s="112"/>
      <c r="R123" s="100"/>
      <c r="S123" s="100"/>
    </row>
    <row r="124" spans="1:26" ht="50.1" hidden="1" customHeight="1">
      <c r="A124"/>
      <c r="B124"/>
      <c r="C124"/>
      <c r="D124"/>
      <c r="E124"/>
      <c r="F124"/>
      <c r="G124"/>
      <c r="I124" t="str">
        <f t="shared" ca="1" si="2"/>
        <v/>
      </c>
      <c r="J124" s="537"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124" s="537"/>
      <c r="L124" s="537"/>
      <c r="M124" s="537"/>
      <c r="N124" s="537"/>
      <c r="O124" s="537"/>
      <c r="P124" s="537"/>
      <c r="Q124" s="537"/>
      <c r="R124" s="537"/>
      <c r="S124" s="537"/>
    </row>
    <row r="125" spans="1:26" hidden="1">
      <c r="A125"/>
      <c r="B125"/>
      <c r="C125"/>
      <c r="D125"/>
      <c r="E125"/>
      <c r="F125"/>
      <c r="G125"/>
      <c r="I125" t="str">
        <f t="shared" ca="1" si="2"/>
        <v/>
      </c>
    </row>
    <row r="126" spans="1:26" ht="50.1" hidden="1" customHeight="1">
      <c r="A126"/>
      <c r="B126"/>
      <c r="C126"/>
      <c r="D126"/>
      <c r="E126"/>
      <c r="F126"/>
      <c r="G126"/>
      <c r="I126" t="str">
        <f t="shared" ca="1" si="2"/>
        <v/>
      </c>
      <c r="J126" s="537"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126" s="537"/>
      <c r="L126" s="537"/>
      <c r="M126" s="537"/>
      <c r="N126" s="537"/>
      <c r="O126" s="537"/>
      <c r="P126" s="537"/>
      <c r="Q126" s="537"/>
      <c r="R126" s="537"/>
      <c r="S126" s="537"/>
    </row>
    <row r="127" spans="1:26" hidden="1">
      <c r="A127"/>
      <c r="B127"/>
      <c r="C127"/>
      <c r="D127"/>
      <c r="E127"/>
      <c r="F127"/>
      <c r="G127"/>
      <c r="I127" t="str">
        <f t="shared" ca="1" si="2"/>
        <v/>
      </c>
    </row>
    <row r="128" spans="1:26" hidden="1">
      <c r="A128"/>
      <c r="B128"/>
      <c r="C128"/>
      <c r="D128"/>
      <c r="E128"/>
      <c r="F128"/>
      <c r="G128"/>
      <c r="I128" t="str">
        <f t="shared" ca="1" si="2"/>
        <v/>
      </c>
      <c r="J128" s="86" t="s">
        <v>199</v>
      </c>
    </row>
    <row r="129" spans="1:19" ht="110.1" hidden="1" customHeight="1">
      <c r="A129"/>
      <c r="B129"/>
      <c r="C129"/>
      <c r="D129"/>
      <c r="E129"/>
      <c r="F129"/>
      <c r="G129"/>
      <c r="I129" t="str">
        <f t="shared" ca="1" si="2"/>
        <v/>
      </c>
      <c r="J129" s="558"/>
      <c r="K129" s="558"/>
      <c r="L129" s="558"/>
      <c r="M129" s="558"/>
      <c r="N129" s="558"/>
      <c r="O129" s="558"/>
      <c r="P129" s="558"/>
      <c r="Q129" s="558"/>
      <c r="R129" s="558"/>
      <c r="S129" s="558"/>
    </row>
    <row r="130" spans="1:19" hidden="1">
      <c r="A130"/>
      <c r="B130"/>
      <c r="C130"/>
      <c r="D130"/>
      <c r="E130"/>
      <c r="F130"/>
      <c r="G130"/>
      <c r="I130" t="str">
        <f t="shared" ca="1" si="2"/>
        <v/>
      </c>
    </row>
    <row r="131" spans="1:19" hidden="1">
      <c r="A131"/>
      <c r="B131"/>
      <c r="C131"/>
      <c r="D131"/>
      <c r="E131"/>
      <c r="F131"/>
      <c r="G131"/>
      <c r="I131" t="str">
        <f t="shared" ca="1" si="2"/>
        <v/>
      </c>
      <c r="J131" s="559" t="str">
        <f>Import.Município</f>
        <v>TORITAMA/PERNAMBUCO</v>
      </c>
      <c r="K131" s="559"/>
      <c r="L131" s="559"/>
      <c r="M131" s="559"/>
      <c r="P131" s="560">
        <f>[1]DADOS!$F$25</f>
        <v>44392</v>
      </c>
      <c r="Q131" s="560"/>
      <c r="R131" s="560"/>
      <c r="S131" s="560"/>
    </row>
    <row r="132" spans="1:19" hidden="1">
      <c r="A132"/>
      <c r="B132"/>
      <c r="C132"/>
      <c r="D132"/>
      <c r="E132"/>
      <c r="F132"/>
      <c r="G132"/>
      <c r="I132" t="str">
        <f t="shared" ca="1" si="2"/>
        <v/>
      </c>
      <c r="J132" s="535" t="s">
        <v>203</v>
      </c>
      <c r="K132" s="535"/>
      <c r="L132" s="535"/>
      <c r="M132" s="535"/>
      <c r="O132" s="102"/>
      <c r="P132" s="103" t="s">
        <v>293</v>
      </c>
      <c r="Q132" s="104"/>
      <c r="R132" s="104"/>
      <c r="S132" s="104"/>
    </row>
    <row r="133" spans="1:19" ht="30" hidden="1" customHeight="1">
      <c r="A133"/>
      <c r="B133"/>
      <c r="C133"/>
      <c r="D133"/>
      <c r="E133"/>
      <c r="F133"/>
      <c r="G133"/>
      <c r="I133" t="str">
        <f t="shared" ca="1" si="2"/>
        <v/>
      </c>
    </row>
    <row r="134" spans="1:19" hidden="1">
      <c r="A134"/>
      <c r="B134"/>
      <c r="C134"/>
      <c r="D134"/>
      <c r="E134"/>
      <c r="F134"/>
      <c r="G134"/>
      <c r="I134" t="str">
        <f t="shared" ca="1" si="2"/>
        <v/>
      </c>
      <c r="J134" s="536"/>
      <c r="K134" s="536"/>
      <c r="L134" s="536"/>
      <c r="M134" s="536"/>
      <c r="N134" s="105"/>
    </row>
    <row r="135" spans="1:19" hidden="1">
      <c r="A135"/>
      <c r="B135"/>
      <c r="C135"/>
      <c r="D135"/>
      <c r="E135"/>
      <c r="F135"/>
      <c r="G135"/>
      <c r="I135" t="str">
        <f t="shared" ca="1" si="2"/>
        <v/>
      </c>
      <c r="J135" s="534" t="s">
        <v>294</v>
      </c>
      <c r="K135" s="534"/>
      <c r="L135" s="534"/>
      <c r="M135" s="534"/>
    </row>
    <row r="136" spans="1:19" hidden="1">
      <c r="A136"/>
      <c r="B136"/>
      <c r="C136"/>
      <c r="D136"/>
      <c r="E136"/>
      <c r="F136"/>
      <c r="G136"/>
      <c r="I136" t="str">
        <f t="shared" ca="1" si="2"/>
        <v/>
      </c>
      <c r="J136" s="106" t="s">
        <v>295</v>
      </c>
      <c r="K136" s="107">
        <f t="array" ref="K136:K138">Import.RespOrçamento</f>
        <v>0</v>
      </c>
      <c r="L136" s="108"/>
      <c r="M136" s="108"/>
      <c r="N136" s="105"/>
    </row>
    <row r="137" spans="1:19" hidden="1">
      <c r="A137"/>
      <c r="B137"/>
      <c r="C137"/>
      <c r="D137"/>
      <c r="E137"/>
      <c r="F137"/>
      <c r="G137"/>
      <c r="I137" t="str">
        <f t="shared" ca="1" si="2"/>
        <v/>
      </c>
      <c r="J137" s="106" t="s">
        <v>296</v>
      </c>
      <c r="K137" s="107">
        <v>0</v>
      </c>
      <c r="L137" s="108"/>
      <c r="M137" s="108"/>
      <c r="N137" s="105"/>
    </row>
    <row r="138" spans="1:19" hidden="1">
      <c r="A138"/>
      <c r="B138"/>
      <c r="C138"/>
      <c r="D138"/>
      <c r="E138"/>
      <c r="F138"/>
      <c r="G138"/>
      <c r="I138" t="str">
        <f t="shared" ca="1" si="2"/>
        <v/>
      </c>
      <c r="J138" s="106" t="s">
        <v>297</v>
      </c>
      <c r="K138" s="107">
        <v>0</v>
      </c>
      <c r="L138" s="108"/>
      <c r="M138" s="108"/>
      <c r="N138" s="105"/>
    </row>
    <row r="139" spans="1:19">
      <c r="A139"/>
      <c r="B139"/>
      <c r="C139"/>
      <c r="D139"/>
      <c r="E139"/>
      <c r="F139"/>
      <c r="G139"/>
    </row>
    <row r="140" spans="1:19">
      <c r="A140"/>
      <c r="B140"/>
      <c r="C140"/>
      <c r="D140"/>
      <c r="E140"/>
      <c r="F140"/>
      <c r="G140"/>
    </row>
    <row r="141" spans="1:19">
      <c r="A141"/>
      <c r="B141"/>
      <c r="C141"/>
      <c r="D141"/>
      <c r="E141"/>
      <c r="F141"/>
      <c r="G141"/>
    </row>
    <row r="142" spans="1:19">
      <c r="A142"/>
      <c r="B142"/>
      <c r="C142"/>
      <c r="D142"/>
      <c r="E142"/>
      <c r="F142"/>
      <c r="G142"/>
    </row>
    <row r="143" spans="1:19">
      <c r="A143"/>
      <c r="B143"/>
      <c r="C143"/>
      <c r="D143"/>
      <c r="E143"/>
      <c r="F143"/>
      <c r="G143"/>
    </row>
    <row r="144" spans="1:19">
      <c r="A144" s="86" t="s">
        <v>299</v>
      </c>
    </row>
    <row r="145" spans="1:1">
      <c r="A145" s="86" t="s">
        <v>160</v>
      </c>
    </row>
    <row r="146" spans="1:1">
      <c r="A146" s="86" t="s">
        <v>168</v>
      </c>
    </row>
    <row r="147" spans="1:1">
      <c r="A147" s="86" t="s">
        <v>173</v>
      </c>
    </row>
    <row r="148" spans="1:1">
      <c r="A148" s="86" t="s">
        <v>182</v>
      </c>
    </row>
    <row r="149" spans="1:1">
      <c r="A149" s="86" t="s">
        <v>184</v>
      </c>
    </row>
    <row r="150" spans="1:1">
      <c r="A150" s="86" t="s">
        <v>194</v>
      </c>
    </row>
    <row r="151" spans="1:1">
      <c r="A151" s="86" t="s">
        <v>198</v>
      </c>
    </row>
    <row r="152" spans="1:1">
      <c r="A152" s="86" t="s">
        <v>200</v>
      </c>
    </row>
  </sheetData>
  <mergeCells count="145">
    <mergeCell ref="J132:M132"/>
    <mergeCell ref="J134:M134"/>
    <mergeCell ref="J135:M135"/>
    <mergeCell ref="J124:S124"/>
    <mergeCell ref="J126:S126"/>
    <mergeCell ref="J129:S129"/>
    <mergeCell ref="J131:M131"/>
    <mergeCell ref="P131:S131"/>
    <mergeCell ref="K118:S118"/>
    <mergeCell ref="J120:S120"/>
    <mergeCell ref="M121:M122"/>
    <mergeCell ref="N121:P121"/>
    <mergeCell ref="Q121:Q122"/>
    <mergeCell ref="N122:P122"/>
    <mergeCell ref="J114:Q114"/>
    <mergeCell ref="U114:W114"/>
    <mergeCell ref="J115:Q115"/>
    <mergeCell ref="U115:W115"/>
    <mergeCell ref="J116:Q116"/>
    <mergeCell ref="J111:Q111"/>
    <mergeCell ref="U111:W111"/>
    <mergeCell ref="J112:Q112"/>
    <mergeCell ref="U112:W112"/>
    <mergeCell ref="J113:Q113"/>
    <mergeCell ref="U113:W113"/>
    <mergeCell ref="J108:Q108"/>
    <mergeCell ref="U108:W108"/>
    <mergeCell ref="J109:Q109"/>
    <mergeCell ref="U109:W109"/>
    <mergeCell ref="J110:Q110"/>
    <mergeCell ref="U110:W110"/>
    <mergeCell ref="X105:X106"/>
    <mergeCell ref="Y105:Y106"/>
    <mergeCell ref="Z105:Z106"/>
    <mergeCell ref="J107:Q107"/>
    <mergeCell ref="U107:W107"/>
    <mergeCell ref="J103:S103"/>
    <mergeCell ref="J105:Q106"/>
    <mergeCell ref="R105:R106"/>
    <mergeCell ref="S105:S106"/>
    <mergeCell ref="U105:W106"/>
    <mergeCell ref="J92:M92"/>
    <mergeCell ref="J94:M94"/>
    <mergeCell ref="J95:M95"/>
    <mergeCell ref="J100:S100"/>
    <mergeCell ref="J102:S102"/>
    <mergeCell ref="J84:S84"/>
    <mergeCell ref="J86:S86"/>
    <mergeCell ref="J89:S89"/>
    <mergeCell ref="J91:M91"/>
    <mergeCell ref="P91:S91"/>
    <mergeCell ref="K78:S78"/>
    <mergeCell ref="J80:S80"/>
    <mergeCell ref="M81:M82"/>
    <mergeCell ref="N81:P81"/>
    <mergeCell ref="Q81:Q82"/>
    <mergeCell ref="N82:P82"/>
    <mergeCell ref="J74:Q74"/>
    <mergeCell ref="U74:W74"/>
    <mergeCell ref="J75:Q75"/>
    <mergeCell ref="U75:W75"/>
    <mergeCell ref="J76:Q76"/>
    <mergeCell ref="J71:Q71"/>
    <mergeCell ref="U71:W71"/>
    <mergeCell ref="J72:Q72"/>
    <mergeCell ref="U72:W72"/>
    <mergeCell ref="J73:Q73"/>
    <mergeCell ref="U73:W73"/>
    <mergeCell ref="J68:Q68"/>
    <mergeCell ref="U68:W68"/>
    <mergeCell ref="J69:Q69"/>
    <mergeCell ref="U69:W69"/>
    <mergeCell ref="J70:Q70"/>
    <mergeCell ref="U70:W70"/>
    <mergeCell ref="U65:W66"/>
    <mergeCell ref="X65:X66"/>
    <mergeCell ref="Y65:Y66"/>
    <mergeCell ref="Z65:Z66"/>
    <mergeCell ref="J67:Q67"/>
    <mergeCell ref="U67:W67"/>
    <mergeCell ref="J60:S60"/>
    <mergeCell ref="J62:S62"/>
    <mergeCell ref="J63:S63"/>
    <mergeCell ref="J65:Q66"/>
    <mergeCell ref="R65:R66"/>
    <mergeCell ref="S65:S66"/>
    <mergeCell ref="N42:P42"/>
    <mergeCell ref="J46:S46"/>
    <mergeCell ref="J49:S49"/>
    <mergeCell ref="J51:M51"/>
    <mergeCell ref="P51:S51"/>
    <mergeCell ref="U28:W28"/>
    <mergeCell ref="J29:Q29"/>
    <mergeCell ref="U29:W29"/>
    <mergeCell ref="J30:Q30"/>
    <mergeCell ref="U30:W30"/>
    <mergeCell ref="U35:W35"/>
    <mergeCell ref="U32:W32"/>
    <mergeCell ref="U33:W33"/>
    <mergeCell ref="U34:W34"/>
    <mergeCell ref="U31:W31"/>
    <mergeCell ref="X25:X26"/>
    <mergeCell ref="Y25:Y26"/>
    <mergeCell ref="Z25:Z26"/>
    <mergeCell ref="J27:Q27"/>
    <mergeCell ref="U27:W27"/>
    <mergeCell ref="J22:S22"/>
    <mergeCell ref="J23:S23"/>
    <mergeCell ref="J25:Q26"/>
    <mergeCell ref="R25:R26"/>
    <mergeCell ref="S25:S26"/>
    <mergeCell ref="R1:S1"/>
    <mergeCell ref="R2:S2"/>
    <mergeCell ref="J4:K4"/>
    <mergeCell ref="L4:M4"/>
    <mergeCell ref="N4:S4"/>
    <mergeCell ref="J5:K5"/>
    <mergeCell ref="L5:M5"/>
    <mergeCell ref="N5:S5"/>
    <mergeCell ref="U25:W26"/>
    <mergeCell ref="J6:S6"/>
    <mergeCell ref="I13:I17"/>
    <mergeCell ref="J18:Q18"/>
    <mergeCell ref="R18:S18"/>
    <mergeCell ref="J20:S20"/>
    <mergeCell ref="J17:Q17"/>
    <mergeCell ref="R17:S17"/>
    <mergeCell ref="J55:M55"/>
    <mergeCell ref="J52:M52"/>
    <mergeCell ref="J54:M54"/>
    <mergeCell ref="J44:S44"/>
    <mergeCell ref="K38:S38"/>
    <mergeCell ref="J40:S40"/>
    <mergeCell ref="M41:M42"/>
    <mergeCell ref="N41:P41"/>
    <mergeCell ref="J35:Q35"/>
    <mergeCell ref="J36:Q36"/>
    <mergeCell ref="J32:Q32"/>
    <mergeCell ref="J33:Q33"/>
    <mergeCell ref="J34:Q34"/>
    <mergeCell ref="J31:Q31"/>
    <mergeCell ref="J28:Q28"/>
    <mergeCell ref="J14:S14"/>
    <mergeCell ref="J15:S15"/>
    <mergeCell ref="Q41:Q42"/>
  </mergeCells>
  <conditionalFormatting sqref="J36:S36 J76:S76 J116:S116">
    <cfRule type="expression" dxfId="3" priority="1" stopIfTrue="1">
      <formula>DESONERACAO="não"</formula>
    </cfRule>
  </conditionalFormatting>
  <conditionalFormatting sqref="U35:W35 U75:W75 U115:W115">
    <cfRule type="expression" dxfId="2" priority="2" stopIfTrue="1">
      <formula>AND(U35&lt;&gt;"OK",U35&lt;&gt;"-",U35&lt;&gt;"")</formula>
    </cfRule>
    <cfRule type="cellIs" dxfId="1" priority="3" stopIfTrue="1" operator="equal">
      <formula>"OK"</formula>
    </cfRule>
  </conditionalFormatting>
  <conditionalFormatting sqref="S35 S75 S115">
    <cfRule type="expression" dxfId="0" priority="4" stopIfTrue="1">
      <formula>DESONERACAO="não"</formula>
    </cfRule>
  </conditionalFormatting>
  <dataValidations count="6">
    <dataValidation type="list" allowBlank="1" showErrorMessage="1" sqref="J23:S23 JF23:JO23 TB23:TK23 ACX23:ADG23 AMT23:ANC23 AWP23:AWY23 BGL23:BGU23 BQH23:BQQ23 CAD23:CAM23 CJZ23:CKI23 CTV23:CUE23 DDR23:DEA23 DNN23:DNW23 DXJ23:DXS23 EHF23:EHO23 ERB23:ERK23 FAX23:FBG23 FKT23:FLC23 FUP23:FUY23 GEL23:GEU23 GOH23:GOQ23 GYD23:GYM23 HHZ23:HII23 HRV23:HSE23 IBR23:ICA23 ILN23:ILW23 IVJ23:IVS23 JFF23:JFO23 JPB23:JPK23 JYX23:JZG23 KIT23:KJC23 KSP23:KSY23 LCL23:LCU23 LMH23:LMQ23 LWD23:LWM23 MFZ23:MGI23 MPV23:MQE23 MZR23:NAA23 NJN23:NJW23 NTJ23:NTS23 ODF23:ODO23 ONB23:ONK23 OWX23:OXG23 PGT23:PHC23 PQP23:PQY23 QAL23:QAU23 QKH23:QKQ23 QUD23:QUM23 RDZ23:REI23 RNV23:ROE23 RXR23:RYA23 SHN23:SHW23 SRJ23:SRS23 TBF23:TBO23 TLB23:TLK23 TUX23:TVG23 UET23:UFC23 UOP23:UOY23 UYL23:UYU23 VIH23:VIQ23 VSD23:VSM23 WBZ23:WCI23 WLV23:WME23 WVR23:WWA23 J65559:S65559 JF65559:JO65559 TB65559:TK65559 ACX65559:ADG65559 AMT65559:ANC65559 AWP65559:AWY65559 BGL65559:BGU65559 BQH65559:BQQ65559 CAD65559:CAM65559 CJZ65559:CKI65559 CTV65559:CUE65559 DDR65559:DEA65559 DNN65559:DNW65559 DXJ65559:DXS65559 EHF65559:EHO65559 ERB65559:ERK65559 FAX65559:FBG65559 FKT65559:FLC65559 FUP65559:FUY65559 GEL65559:GEU65559 GOH65559:GOQ65559 GYD65559:GYM65559 HHZ65559:HII65559 HRV65559:HSE65559 IBR65559:ICA65559 ILN65559:ILW65559 IVJ65559:IVS65559 JFF65559:JFO65559 JPB65559:JPK65559 JYX65559:JZG65559 KIT65559:KJC65559 KSP65559:KSY65559 LCL65559:LCU65559 LMH65559:LMQ65559 LWD65559:LWM65559 MFZ65559:MGI65559 MPV65559:MQE65559 MZR65559:NAA65559 NJN65559:NJW65559 NTJ65559:NTS65559 ODF65559:ODO65559 ONB65559:ONK65559 OWX65559:OXG65559 PGT65559:PHC65559 PQP65559:PQY65559 QAL65559:QAU65559 QKH65559:QKQ65559 QUD65559:QUM65559 RDZ65559:REI65559 RNV65559:ROE65559 RXR65559:RYA65559 SHN65559:SHW65559 SRJ65559:SRS65559 TBF65559:TBO65559 TLB65559:TLK65559 TUX65559:TVG65559 UET65559:UFC65559 UOP65559:UOY65559 UYL65559:UYU65559 VIH65559:VIQ65559 VSD65559:VSM65559 WBZ65559:WCI65559 WLV65559:WME65559 WVR65559:WWA65559 J131095:S131095 JF131095:JO131095 TB131095:TK131095 ACX131095:ADG131095 AMT131095:ANC131095 AWP131095:AWY131095 BGL131095:BGU131095 BQH131095:BQQ131095 CAD131095:CAM131095 CJZ131095:CKI131095 CTV131095:CUE131095 DDR131095:DEA131095 DNN131095:DNW131095 DXJ131095:DXS131095 EHF131095:EHO131095 ERB131095:ERK131095 FAX131095:FBG131095 FKT131095:FLC131095 FUP131095:FUY131095 GEL131095:GEU131095 GOH131095:GOQ131095 GYD131095:GYM131095 HHZ131095:HII131095 HRV131095:HSE131095 IBR131095:ICA131095 ILN131095:ILW131095 IVJ131095:IVS131095 JFF131095:JFO131095 JPB131095:JPK131095 JYX131095:JZG131095 KIT131095:KJC131095 KSP131095:KSY131095 LCL131095:LCU131095 LMH131095:LMQ131095 LWD131095:LWM131095 MFZ131095:MGI131095 MPV131095:MQE131095 MZR131095:NAA131095 NJN131095:NJW131095 NTJ131095:NTS131095 ODF131095:ODO131095 ONB131095:ONK131095 OWX131095:OXG131095 PGT131095:PHC131095 PQP131095:PQY131095 QAL131095:QAU131095 QKH131095:QKQ131095 QUD131095:QUM131095 RDZ131095:REI131095 RNV131095:ROE131095 RXR131095:RYA131095 SHN131095:SHW131095 SRJ131095:SRS131095 TBF131095:TBO131095 TLB131095:TLK131095 TUX131095:TVG131095 UET131095:UFC131095 UOP131095:UOY131095 UYL131095:UYU131095 VIH131095:VIQ131095 VSD131095:VSM131095 WBZ131095:WCI131095 WLV131095:WME131095 WVR131095:WWA131095 J196631:S196631 JF196631:JO196631 TB196631:TK196631 ACX196631:ADG196631 AMT196631:ANC196631 AWP196631:AWY196631 BGL196631:BGU196631 BQH196631:BQQ196631 CAD196631:CAM196631 CJZ196631:CKI196631 CTV196631:CUE196631 DDR196631:DEA196631 DNN196631:DNW196631 DXJ196631:DXS196631 EHF196631:EHO196631 ERB196631:ERK196631 FAX196631:FBG196631 FKT196631:FLC196631 FUP196631:FUY196631 GEL196631:GEU196631 GOH196631:GOQ196631 GYD196631:GYM196631 HHZ196631:HII196631 HRV196631:HSE196631 IBR196631:ICA196631 ILN196631:ILW196631 IVJ196631:IVS196631 JFF196631:JFO196631 JPB196631:JPK196631 JYX196631:JZG196631 KIT196631:KJC196631 KSP196631:KSY196631 LCL196631:LCU196631 LMH196631:LMQ196631 LWD196631:LWM196631 MFZ196631:MGI196631 MPV196631:MQE196631 MZR196631:NAA196631 NJN196631:NJW196631 NTJ196631:NTS196631 ODF196631:ODO196631 ONB196631:ONK196631 OWX196631:OXG196631 PGT196631:PHC196631 PQP196631:PQY196631 QAL196631:QAU196631 QKH196631:QKQ196631 QUD196631:QUM196631 RDZ196631:REI196631 RNV196631:ROE196631 RXR196631:RYA196631 SHN196631:SHW196631 SRJ196631:SRS196631 TBF196631:TBO196631 TLB196631:TLK196631 TUX196631:TVG196631 UET196631:UFC196631 UOP196631:UOY196631 UYL196631:UYU196631 VIH196631:VIQ196631 VSD196631:VSM196631 WBZ196631:WCI196631 WLV196631:WME196631 WVR196631:WWA196631 J262167:S262167 JF262167:JO262167 TB262167:TK262167 ACX262167:ADG262167 AMT262167:ANC262167 AWP262167:AWY262167 BGL262167:BGU262167 BQH262167:BQQ262167 CAD262167:CAM262167 CJZ262167:CKI262167 CTV262167:CUE262167 DDR262167:DEA262167 DNN262167:DNW262167 DXJ262167:DXS262167 EHF262167:EHO262167 ERB262167:ERK262167 FAX262167:FBG262167 FKT262167:FLC262167 FUP262167:FUY262167 GEL262167:GEU262167 GOH262167:GOQ262167 GYD262167:GYM262167 HHZ262167:HII262167 HRV262167:HSE262167 IBR262167:ICA262167 ILN262167:ILW262167 IVJ262167:IVS262167 JFF262167:JFO262167 JPB262167:JPK262167 JYX262167:JZG262167 KIT262167:KJC262167 KSP262167:KSY262167 LCL262167:LCU262167 LMH262167:LMQ262167 LWD262167:LWM262167 MFZ262167:MGI262167 MPV262167:MQE262167 MZR262167:NAA262167 NJN262167:NJW262167 NTJ262167:NTS262167 ODF262167:ODO262167 ONB262167:ONK262167 OWX262167:OXG262167 PGT262167:PHC262167 PQP262167:PQY262167 QAL262167:QAU262167 QKH262167:QKQ262167 QUD262167:QUM262167 RDZ262167:REI262167 RNV262167:ROE262167 RXR262167:RYA262167 SHN262167:SHW262167 SRJ262167:SRS262167 TBF262167:TBO262167 TLB262167:TLK262167 TUX262167:TVG262167 UET262167:UFC262167 UOP262167:UOY262167 UYL262167:UYU262167 VIH262167:VIQ262167 VSD262167:VSM262167 WBZ262167:WCI262167 WLV262167:WME262167 WVR262167:WWA262167 J327703:S327703 JF327703:JO327703 TB327703:TK327703 ACX327703:ADG327703 AMT327703:ANC327703 AWP327703:AWY327703 BGL327703:BGU327703 BQH327703:BQQ327703 CAD327703:CAM327703 CJZ327703:CKI327703 CTV327703:CUE327703 DDR327703:DEA327703 DNN327703:DNW327703 DXJ327703:DXS327703 EHF327703:EHO327703 ERB327703:ERK327703 FAX327703:FBG327703 FKT327703:FLC327703 FUP327703:FUY327703 GEL327703:GEU327703 GOH327703:GOQ327703 GYD327703:GYM327703 HHZ327703:HII327703 HRV327703:HSE327703 IBR327703:ICA327703 ILN327703:ILW327703 IVJ327703:IVS327703 JFF327703:JFO327703 JPB327703:JPK327703 JYX327703:JZG327703 KIT327703:KJC327703 KSP327703:KSY327703 LCL327703:LCU327703 LMH327703:LMQ327703 LWD327703:LWM327703 MFZ327703:MGI327703 MPV327703:MQE327703 MZR327703:NAA327703 NJN327703:NJW327703 NTJ327703:NTS327703 ODF327703:ODO327703 ONB327703:ONK327703 OWX327703:OXG327703 PGT327703:PHC327703 PQP327703:PQY327703 QAL327703:QAU327703 QKH327703:QKQ327703 QUD327703:QUM327703 RDZ327703:REI327703 RNV327703:ROE327703 RXR327703:RYA327703 SHN327703:SHW327703 SRJ327703:SRS327703 TBF327703:TBO327703 TLB327703:TLK327703 TUX327703:TVG327703 UET327703:UFC327703 UOP327703:UOY327703 UYL327703:UYU327703 VIH327703:VIQ327703 VSD327703:VSM327703 WBZ327703:WCI327703 WLV327703:WME327703 WVR327703:WWA327703 J393239:S393239 JF393239:JO393239 TB393239:TK393239 ACX393239:ADG393239 AMT393239:ANC393239 AWP393239:AWY393239 BGL393239:BGU393239 BQH393239:BQQ393239 CAD393239:CAM393239 CJZ393239:CKI393239 CTV393239:CUE393239 DDR393239:DEA393239 DNN393239:DNW393239 DXJ393239:DXS393239 EHF393239:EHO393239 ERB393239:ERK393239 FAX393239:FBG393239 FKT393239:FLC393239 FUP393239:FUY393239 GEL393239:GEU393239 GOH393239:GOQ393239 GYD393239:GYM393239 HHZ393239:HII393239 HRV393239:HSE393239 IBR393239:ICA393239 ILN393239:ILW393239 IVJ393239:IVS393239 JFF393239:JFO393239 JPB393239:JPK393239 JYX393239:JZG393239 KIT393239:KJC393239 KSP393239:KSY393239 LCL393239:LCU393239 LMH393239:LMQ393239 LWD393239:LWM393239 MFZ393239:MGI393239 MPV393239:MQE393239 MZR393239:NAA393239 NJN393239:NJW393239 NTJ393239:NTS393239 ODF393239:ODO393239 ONB393239:ONK393239 OWX393239:OXG393239 PGT393239:PHC393239 PQP393239:PQY393239 QAL393239:QAU393239 QKH393239:QKQ393239 QUD393239:QUM393239 RDZ393239:REI393239 RNV393239:ROE393239 RXR393239:RYA393239 SHN393239:SHW393239 SRJ393239:SRS393239 TBF393239:TBO393239 TLB393239:TLK393239 TUX393239:TVG393239 UET393239:UFC393239 UOP393239:UOY393239 UYL393239:UYU393239 VIH393239:VIQ393239 VSD393239:VSM393239 WBZ393239:WCI393239 WLV393239:WME393239 WVR393239:WWA393239 J458775:S458775 JF458775:JO458775 TB458775:TK458775 ACX458775:ADG458775 AMT458775:ANC458775 AWP458775:AWY458775 BGL458775:BGU458775 BQH458775:BQQ458775 CAD458775:CAM458775 CJZ458775:CKI458775 CTV458775:CUE458775 DDR458775:DEA458775 DNN458775:DNW458775 DXJ458775:DXS458775 EHF458775:EHO458775 ERB458775:ERK458775 FAX458775:FBG458775 FKT458775:FLC458775 FUP458775:FUY458775 GEL458775:GEU458775 GOH458775:GOQ458775 GYD458775:GYM458775 HHZ458775:HII458775 HRV458775:HSE458775 IBR458775:ICA458775 ILN458775:ILW458775 IVJ458775:IVS458775 JFF458775:JFO458775 JPB458775:JPK458775 JYX458775:JZG458775 KIT458775:KJC458775 KSP458775:KSY458775 LCL458775:LCU458775 LMH458775:LMQ458775 LWD458775:LWM458775 MFZ458775:MGI458775 MPV458775:MQE458775 MZR458775:NAA458775 NJN458775:NJW458775 NTJ458775:NTS458775 ODF458775:ODO458775 ONB458775:ONK458775 OWX458775:OXG458775 PGT458775:PHC458775 PQP458775:PQY458775 QAL458775:QAU458775 QKH458775:QKQ458775 QUD458775:QUM458775 RDZ458775:REI458775 RNV458775:ROE458775 RXR458775:RYA458775 SHN458775:SHW458775 SRJ458775:SRS458775 TBF458775:TBO458775 TLB458775:TLK458775 TUX458775:TVG458775 UET458775:UFC458775 UOP458775:UOY458775 UYL458775:UYU458775 VIH458775:VIQ458775 VSD458775:VSM458775 WBZ458775:WCI458775 WLV458775:WME458775 WVR458775:WWA458775 J524311:S524311 JF524311:JO524311 TB524311:TK524311 ACX524311:ADG524311 AMT524311:ANC524311 AWP524311:AWY524311 BGL524311:BGU524311 BQH524311:BQQ524311 CAD524311:CAM524311 CJZ524311:CKI524311 CTV524311:CUE524311 DDR524311:DEA524311 DNN524311:DNW524311 DXJ524311:DXS524311 EHF524311:EHO524311 ERB524311:ERK524311 FAX524311:FBG524311 FKT524311:FLC524311 FUP524311:FUY524311 GEL524311:GEU524311 GOH524311:GOQ524311 GYD524311:GYM524311 HHZ524311:HII524311 HRV524311:HSE524311 IBR524311:ICA524311 ILN524311:ILW524311 IVJ524311:IVS524311 JFF524311:JFO524311 JPB524311:JPK524311 JYX524311:JZG524311 KIT524311:KJC524311 KSP524311:KSY524311 LCL524311:LCU524311 LMH524311:LMQ524311 LWD524311:LWM524311 MFZ524311:MGI524311 MPV524311:MQE524311 MZR524311:NAA524311 NJN524311:NJW524311 NTJ524311:NTS524311 ODF524311:ODO524311 ONB524311:ONK524311 OWX524311:OXG524311 PGT524311:PHC524311 PQP524311:PQY524311 QAL524311:QAU524311 QKH524311:QKQ524311 QUD524311:QUM524311 RDZ524311:REI524311 RNV524311:ROE524311 RXR524311:RYA524311 SHN524311:SHW524311 SRJ524311:SRS524311 TBF524311:TBO524311 TLB524311:TLK524311 TUX524311:TVG524311 UET524311:UFC524311 UOP524311:UOY524311 UYL524311:UYU524311 VIH524311:VIQ524311 VSD524311:VSM524311 WBZ524311:WCI524311 WLV524311:WME524311 WVR524311:WWA524311 J589847:S589847 JF589847:JO589847 TB589847:TK589847 ACX589847:ADG589847 AMT589847:ANC589847 AWP589847:AWY589847 BGL589847:BGU589847 BQH589847:BQQ589847 CAD589847:CAM589847 CJZ589847:CKI589847 CTV589847:CUE589847 DDR589847:DEA589847 DNN589847:DNW589847 DXJ589847:DXS589847 EHF589847:EHO589847 ERB589847:ERK589847 FAX589847:FBG589847 FKT589847:FLC589847 FUP589847:FUY589847 GEL589847:GEU589847 GOH589847:GOQ589847 GYD589847:GYM589847 HHZ589847:HII589847 HRV589847:HSE589847 IBR589847:ICA589847 ILN589847:ILW589847 IVJ589847:IVS589847 JFF589847:JFO589847 JPB589847:JPK589847 JYX589847:JZG589847 KIT589847:KJC589847 KSP589847:KSY589847 LCL589847:LCU589847 LMH589847:LMQ589847 LWD589847:LWM589847 MFZ589847:MGI589847 MPV589847:MQE589847 MZR589847:NAA589847 NJN589847:NJW589847 NTJ589847:NTS589847 ODF589847:ODO589847 ONB589847:ONK589847 OWX589847:OXG589847 PGT589847:PHC589847 PQP589847:PQY589847 QAL589847:QAU589847 QKH589847:QKQ589847 QUD589847:QUM589847 RDZ589847:REI589847 RNV589847:ROE589847 RXR589847:RYA589847 SHN589847:SHW589847 SRJ589847:SRS589847 TBF589847:TBO589847 TLB589847:TLK589847 TUX589847:TVG589847 UET589847:UFC589847 UOP589847:UOY589847 UYL589847:UYU589847 VIH589847:VIQ589847 VSD589847:VSM589847 WBZ589847:WCI589847 WLV589847:WME589847 WVR589847:WWA589847 J655383:S655383 JF655383:JO655383 TB655383:TK655383 ACX655383:ADG655383 AMT655383:ANC655383 AWP655383:AWY655383 BGL655383:BGU655383 BQH655383:BQQ655383 CAD655383:CAM655383 CJZ655383:CKI655383 CTV655383:CUE655383 DDR655383:DEA655383 DNN655383:DNW655383 DXJ655383:DXS655383 EHF655383:EHO655383 ERB655383:ERK655383 FAX655383:FBG655383 FKT655383:FLC655383 FUP655383:FUY655383 GEL655383:GEU655383 GOH655383:GOQ655383 GYD655383:GYM655383 HHZ655383:HII655383 HRV655383:HSE655383 IBR655383:ICA655383 ILN655383:ILW655383 IVJ655383:IVS655383 JFF655383:JFO655383 JPB655383:JPK655383 JYX655383:JZG655383 KIT655383:KJC655383 KSP655383:KSY655383 LCL655383:LCU655383 LMH655383:LMQ655383 LWD655383:LWM655383 MFZ655383:MGI655383 MPV655383:MQE655383 MZR655383:NAA655383 NJN655383:NJW655383 NTJ655383:NTS655383 ODF655383:ODO655383 ONB655383:ONK655383 OWX655383:OXG655383 PGT655383:PHC655383 PQP655383:PQY655383 QAL655383:QAU655383 QKH655383:QKQ655383 QUD655383:QUM655383 RDZ655383:REI655383 RNV655383:ROE655383 RXR655383:RYA655383 SHN655383:SHW655383 SRJ655383:SRS655383 TBF655383:TBO655383 TLB655383:TLK655383 TUX655383:TVG655383 UET655383:UFC655383 UOP655383:UOY655383 UYL655383:UYU655383 VIH655383:VIQ655383 VSD655383:VSM655383 WBZ655383:WCI655383 WLV655383:WME655383 WVR655383:WWA655383 J720919:S720919 JF720919:JO720919 TB720919:TK720919 ACX720919:ADG720919 AMT720919:ANC720919 AWP720919:AWY720919 BGL720919:BGU720919 BQH720919:BQQ720919 CAD720919:CAM720919 CJZ720919:CKI720919 CTV720919:CUE720919 DDR720919:DEA720919 DNN720919:DNW720919 DXJ720919:DXS720919 EHF720919:EHO720919 ERB720919:ERK720919 FAX720919:FBG720919 FKT720919:FLC720919 FUP720919:FUY720919 GEL720919:GEU720919 GOH720919:GOQ720919 GYD720919:GYM720919 HHZ720919:HII720919 HRV720919:HSE720919 IBR720919:ICA720919 ILN720919:ILW720919 IVJ720919:IVS720919 JFF720919:JFO720919 JPB720919:JPK720919 JYX720919:JZG720919 KIT720919:KJC720919 KSP720919:KSY720919 LCL720919:LCU720919 LMH720919:LMQ720919 LWD720919:LWM720919 MFZ720919:MGI720919 MPV720919:MQE720919 MZR720919:NAA720919 NJN720919:NJW720919 NTJ720919:NTS720919 ODF720919:ODO720919 ONB720919:ONK720919 OWX720919:OXG720919 PGT720919:PHC720919 PQP720919:PQY720919 QAL720919:QAU720919 QKH720919:QKQ720919 QUD720919:QUM720919 RDZ720919:REI720919 RNV720919:ROE720919 RXR720919:RYA720919 SHN720919:SHW720919 SRJ720919:SRS720919 TBF720919:TBO720919 TLB720919:TLK720919 TUX720919:TVG720919 UET720919:UFC720919 UOP720919:UOY720919 UYL720919:UYU720919 VIH720919:VIQ720919 VSD720919:VSM720919 WBZ720919:WCI720919 WLV720919:WME720919 WVR720919:WWA720919 J786455:S786455 JF786455:JO786455 TB786455:TK786455 ACX786455:ADG786455 AMT786455:ANC786455 AWP786455:AWY786455 BGL786455:BGU786455 BQH786455:BQQ786455 CAD786455:CAM786455 CJZ786455:CKI786455 CTV786455:CUE786455 DDR786455:DEA786455 DNN786455:DNW786455 DXJ786455:DXS786455 EHF786455:EHO786455 ERB786455:ERK786455 FAX786455:FBG786455 FKT786455:FLC786455 FUP786455:FUY786455 GEL786455:GEU786455 GOH786455:GOQ786455 GYD786455:GYM786455 HHZ786455:HII786455 HRV786455:HSE786455 IBR786455:ICA786455 ILN786455:ILW786455 IVJ786455:IVS786455 JFF786455:JFO786455 JPB786455:JPK786455 JYX786455:JZG786455 KIT786455:KJC786455 KSP786455:KSY786455 LCL786455:LCU786455 LMH786455:LMQ786455 LWD786455:LWM786455 MFZ786455:MGI786455 MPV786455:MQE786455 MZR786455:NAA786455 NJN786455:NJW786455 NTJ786455:NTS786455 ODF786455:ODO786455 ONB786455:ONK786455 OWX786455:OXG786455 PGT786455:PHC786455 PQP786455:PQY786455 QAL786455:QAU786455 QKH786455:QKQ786455 QUD786455:QUM786455 RDZ786455:REI786455 RNV786455:ROE786455 RXR786455:RYA786455 SHN786455:SHW786455 SRJ786455:SRS786455 TBF786455:TBO786455 TLB786455:TLK786455 TUX786455:TVG786455 UET786455:UFC786455 UOP786455:UOY786455 UYL786455:UYU786455 VIH786455:VIQ786455 VSD786455:VSM786455 WBZ786455:WCI786455 WLV786455:WME786455 WVR786455:WWA786455 J851991:S851991 JF851991:JO851991 TB851991:TK851991 ACX851991:ADG851991 AMT851991:ANC851991 AWP851991:AWY851991 BGL851991:BGU851991 BQH851991:BQQ851991 CAD851991:CAM851991 CJZ851991:CKI851991 CTV851991:CUE851991 DDR851991:DEA851991 DNN851991:DNW851991 DXJ851991:DXS851991 EHF851991:EHO851991 ERB851991:ERK851991 FAX851991:FBG851991 FKT851991:FLC851991 FUP851991:FUY851991 GEL851991:GEU851991 GOH851991:GOQ851991 GYD851991:GYM851991 HHZ851991:HII851991 HRV851991:HSE851991 IBR851991:ICA851991 ILN851991:ILW851991 IVJ851991:IVS851991 JFF851991:JFO851991 JPB851991:JPK851991 JYX851991:JZG851991 KIT851991:KJC851991 KSP851991:KSY851991 LCL851991:LCU851991 LMH851991:LMQ851991 LWD851991:LWM851991 MFZ851991:MGI851991 MPV851991:MQE851991 MZR851991:NAA851991 NJN851991:NJW851991 NTJ851991:NTS851991 ODF851991:ODO851991 ONB851991:ONK851991 OWX851991:OXG851991 PGT851991:PHC851991 PQP851991:PQY851991 QAL851991:QAU851991 QKH851991:QKQ851991 QUD851991:QUM851991 RDZ851991:REI851991 RNV851991:ROE851991 RXR851991:RYA851991 SHN851991:SHW851991 SRJ851991:SRS851991 TBF851991:TBO851991 TLB851991:TLK851991 TUX851991:TVG851991 UET851991:UFC851991 UOP851991:UOY851991 UYL851991:UYU851991 VIH851991:VIQ851991 VSD851991:VSM851991 WBZ851991:WCI851991 WLV851991:WME851991 WVR851991:WWA851991 J917527:S917527 JF917527:JO917527 TB917527:TK917527 ACX917527:ADG917527 AMT917527:ANC917527 AWP917527:AWY917527 BGL917527:BGU917527 BQH917527:BQQ917527 CAD917527:CAM917527 CJZ917527:CKI917527 CTV917527:CUE917527 DDR917527:DEA917527 DNN917527:DNW917527 DXJ917527:DXS917527 EHF917527:EHO917527 ERB917527:ERK917527 FAX917527:FBG917527 FKT917527:FLC917527 FUP917527:FUY917527 GEL917527:GEU917527 GOH917527:GOQ917527 GYD917527:GYM917527 HHZ917527:HII917527 HRV917527:HSE917527 IBR917527:ICA917527 ILN917527:ILW917527 IVJ917527:IVS917527 JFF917527:JFO917527 JPB917527:JPK917527 JYX917527:JZG917527 KIT917527:KJC917527 KSP917527:KSY917527 LCL917527:LCU917527 LMH917527:LMQ917527 LWD917527:LWM917527 MFZ917527:MGI917527 MPV917527:MQE917527 MZR917527:NAA917527 NJN917527:NJW917527 NTJ917527:NTS917527 ODF917527:ODO917527 ONB917527:ONK917527 OWX917527:OXG917527 PGT917527:PHC917527 PQP917527:PQY917527 QAL917527:QAU917527 QKH917527:QKQ917527 QUD917527:QUM917527 RDZ917527:REI917527 RNV917527:ROE917527 RXR917527:RYA917527 SHN917527:SHW917527 SRJ917527:SRS917527 TBF917527:TBO917527 TLB917527:TLK917527 TUX917527:TVG917527 UET917527:UFC917527 UOP917527:UOY917527 UYL917527:UYU917527 VIH917527:VIQ917527 VSD917527:VSM917527 WBZ917527:WCI917527 WLV917527:WME917527 WVR917527:WWA917527 J983063:S983063 JF983063:JO983063 TB983063:TK983063 ACX983063:ADG983063 AMT983063:ANC983063 AWP983063:AWY983063 BGL983063:BGU983063 BQH983063:BQQ983063 CAD983063:CAM983063 CJZ983063:CKI983063 CTV983063:CUE983063 DDR983063:DEA983063 DNN983063:DNW983063 DXJ983063:DXS983063 EHF983063:EHO983063 ERB983063:ERK983063 FAX983063:FBG983063 FKT983063:FLC983063 FUP983063:FUY983063 GEL983063:GEU983063 GOH983063:GOQ983063 GYD983063:GYM983063 HHZ983063:HII983063 HRV983063:HSE983063 IBR983063:ICA983063 ILN983063:ILW983063 IVJ983063:IVS983063 JFF983063:JFO983063 JPB983063:JPK983063 JYX983063:JZG983063 KIT983063:KJC983063 KSP983063:KSY983063 LCL983063:LCU983063 LMH983063:LMQ983063 LWD983063:LWM983063 MFZ983063:MGI983063 MPV983063:MQE983063 MZR983063:NAA983063 NJN983063:NJW983063 NTJ983063:NTS983063 ODF983063:ODO983063 ONB983063:ONK983063 OWX983063:OXG983063 PGT983063:PHC983063 PQP983063:PQY983063 QAL983063:QAU983063 QKH983063:QKQ983063 QUD983063:QUM983063 RDZ983063:REI983063 RNV983063:ROE983063 RXR983063:RYA983063 SHN983063:SHW983063 SRJ983063:SRS983063 TBF983063:TBO983063 TLB983063:TLK983063 TUX983063:TVG983063 UET983063:UFC983063 UOP983063:UOY983063 UYL983063:UYU983063 VIH983063:VIQ983063 VSD983063:VSM983063 WBZ983063:WCI983063 WLV983063:WME983063 WVR983063:WWA983063 J63:S63 JF63:JO63 TB63:TK63 ACX63:ADG63 AMT63:ANC63 AWP63:AWY63 BGL63:BGU63 BQH63:BQQ63 CAD63:CAM63 CJZ63:CKI63 CTV63:CUE63 DDR63:DEA63 DNN63:DNW63 DXJ63:DXS63 EHF63:EHO63 ERB63:ERK63 FAX63:FBG63 FKT63:FLC63 FUP63:FUY63 GEL63:GEU63 GOH63:GOQ63 GYD63:GYM63 HHZ63:HII63 HRV63:HSE63 IBR63:ICA63 ILN63:ILW63 IVJ63:IVS63 JFF63:JFO63 JPB63:JPK63 JYX63:JZG63 KIT63:KJC63 KSP63:KSY63 LCL63:LCU63 LMH63:LMQ63 LWD63:LWM63 MFZ63:MGI63 MPV63:MQE63 MZR63:NAA63 NJN63:NJW63 NTJ63:NTS63 ODF63:ODO63 ONB63:ONK63 OWX63:OXG63 PGT63:PHC63 PQP63:PQY63 QAL63:QAU63 QKH63:QKQ63 QUD63:QUM63 RDZ63:REI63 RNV63:ROE63 RXR63:RYA63 SHN63:SHW63 SRJ63:SRS63 TBF63:TBO63 TLB63:TLK63 TUX63:TVG63 UET63:UFC63 UOP63:UOY63 UYL63:UYU63 VIH63:VIQ63 VSD63:VSM63 WBZ63:WCI63 WLV63:WME63 WVR63:WWA63 J65599:S65599 JF65599:JO65599 TB65599:TK65599 ACX65599:ADG65599 AMT65599:ANC65599 AWP65599:AWY65599 BGL65599:BGU65599 BQH65599:BQQ65599 CAD65599:CAM65599 CJZ65599:CKI65599 CTV65599:CUE65599 DDR65599:DEA65599 DNN65599:DNW65599 DXJ65599:DXS65599 EHF65599:EHO65599 ERB65599:ERK65599 FAX65599:FBG65599 FKT65599:FLC65599 FUP65599:FUY65599 GEL65599:GEU65599 GOH65599:GOQ65599 GYD65599:GYM65599 HHZ65599:HII65599 HRV65599:HSE65599 IBR65599:ICA65599 ILN65599:ILW65599 IVJ65599:IVS65599 JFF65599:JFO65599 JPB65599:JPK65599 JYX65599:JZG65599 KIT65599:KJC65599 KSP65599:KSY65599 LCL65599:LCU65599 LMH65599:LMQ65599 LWD65599:LWM65599 MFZ65599:MGI65599 MPV65599:MQE65599 MZR65599:NAA65599 NJN65599:NJW65599 NTJ65599:NTS65599 ODF65599:ODO65599 ONB65599:ONK65599 OWX65599:OXG65599 PGT65599:PHC65599 PQP65599:PQY65599 QAL65599:QAU65599 QKH65599:QKQ65599 QUD65599:QUM65599 RDZ65599:REI65599 RNV65599:ROE65599 RXR65599:RYA65599 SHN65599:SHW65599 SRJ65599:SRS65599 TBF65599:TBO65599 TLB65599:TLK65599 TUX65599:TVG65599 UET65599:UFC65599 UOP65599:UOY65599 UYL65599:UYU65599 VIH65599:VIQ65599 VSD65599:VSM65599 WBZ65599:WCI65599 WLV65599:WME65599 WVR65599:WWA65599 J131135:S131135 JF131135:JO131135 TB131135:TK131135 ACX131135:ADG131135 AMT131135:ANC131135 AWP131135:AWY131135 BGL131135:BGU131135 BQH131135:BQQ131135 CAD131135:CAM131135 CJZ131135:CKI131135 CTV131135:CUE131135 DDR131135:DEA131135 DNN131135:DNW131135 DXJ131135:DXS131135 EHF131135:EHO131135 ERB131135:ERK131135 FAX131135:FBG131135 FKT131135:FLC131135 FUP131135:FUY131135 GEL131135:GEU131135 GOH131135:GOQ131135 GYD131135:GYM131135 HHZ131135:HII131135 HRV131135:HSE131135 IBR131135:ICA131135 ILN131135:ILW131135 IVJ131135:IVS131135 JFF131135:JFO131135 JPB131135:JPK131135 JYX131135:JZG131135 KIT131135:KJC131135 KSP131135:KSY131135 LCL131135:LCU131135 LMH131135:LMQ131135 LWD131135:LWM131135 MFZ131135:MGI131135 MPV131135:MQE131135 MZR131135:NAA131135 NJN131135:NJW131135 NTJ131135:NTS131135 ODF131135:ODO131135 ONB131135:ONK131135 OWX131135:OXG131135 PGT131135:PHC131135 PQP131135:PQY131135 QAL131135:QAU131135 QKH131135:QKQ131135 QUD131135:QUM131135 RDZ131135:REI131135 RNV131135:ROE131135 RXR131135:RYA131135 SHN131135:SHW131135 SRJ131135:SRS131135 TBF131135:TBO131135 TLB131135:TLK131135 TUX131135:TVG131135 UET131135:UFC131135 UOP131135:UOY131135 UYL131135:UYU131135 VIH131135:VIQ131135 VSD131135:VSM131135 WBZ131135:WCI131135 WLV131135:WME131135 WVR131135:WWA131135 J196671:S196671 JF196671:JO196671 TB196671:TK196671 ACX196671:ADG196671 AMT196671:ANC196671 AWP196671:AWY196671 BGL196671:BGU196671 BQH196671:BQQ196671 CAD196671:CAM196671 CJZ196671:CKI196671 CTV196671:CUE196671 DDR196671:DEA196671 DNN196671:DNW196671 DXJ196671:DXS196671 EHF196671:EHO196671 ERB196671:ERK196671 FAX196671:FBG196671 FKT196671:FLC196671 FUP196671:FUY196671 GEL196671:GEU196671 GOH196671:GOQ196671 GYD196671:GYM196671 HHZ196671:HII196671 HRV196671:HSE196671 IBR196671:ICA196671 ILN196671:ILW196671 IVJ196671:IVS196671 JFF196671:JFO196671 JPB196671:JPK196671 JYX196671:JZG196671 KIT196671:KJC196671 KSP196671:KSY196671 LCL196671:LCU196671 LMH196671:LMQ196671 LWD196671:LWM196671 MFZ196671:MGI196671 MPV196671:MQE196671 MZR196671:NAA196671 NJN196671:NJW196671 NTJ196671:NTS196671 ODF196671:ODO196671 ONB196671:ONK196671 OWX196671:OXG196671 PGT196671:PHC196671 PQP196671:PQY196671 QAL196671:QAU196671 QKH196671:QKQ196671 QUD196671:QUM196671 RDZ196671:REI196671 RNV196671:ROE196671 RXR196671:RYA196671 SHN196671:SHW196671 SRJ196671:SRS196671 TBF196671:TBO196671 TLB196671:TLK196671 TUX196671:TVG196671 UET196671:UFC196671 UOP196671:UOY196671 UYL196671:UYU196671 VIH196671:VIQ196671 VSD196671:VSM196671 WBZ196671:WCI196671 WLV196671:WME196671 WVR196671:WWA196671 J262207:S262207 JF262207:JO262207 TB262207:TK262207 ACX262207:ADG262207 AMT262207:ANC262207 AWP262207:AWY262207 BGL262207:BGU262207 BQH262207:BQQ262207 CAD262207:CAM262207 CJZ262207:CKI262207 CTV262207:CUE262207 DDR262207:DEA262207 DNN262207:DNW262207 DXJ262207:DXS262207 EHF262207:EHO262207 ERB262207:ERK262207 FAX262207:FBG262207 FKT262207:FLC262207 FUP262207:FUY262207 GEL262207:GEU262207 GOH262207:GOQ262207 GYD262207:GYM262207 HHZ262207:HII262207 HRV262207:HSE262207 IBR262207:ICA262207 ILN262207:ILW262207 IVJ262207:IVS262207 JFF262207:JFO262207 JPB262207:JPK262207 JYX262207:JZG262207 KIT262207:KJC262207 KSP262207:KSY262207 LCL262207:LCU262207 LMH262207:LMQ262207 LWD262207:LWM262207 MFZ262207:MGI262207 MPV262207:MQE262207 MZR262207:NAA262207 NJN262207:NJW262207 NTJ262207:NTS262207 ODF262207:ODO262207 ONB262207:ONK262207 OWX262207:OXG262207 PGT262207:PHC262207 PQP262207:PQY262207 QAL262207:QAU262207 QKH262207:QKQ262207 QUD262207:QUM262207 RDZ262207:REI262207 RNV262207:ROE262207 RXR262207:RYA262207 SHN262207:SHW262207 SRJ262207:SRS262207 TBF262207:TBO262207 TLB262207:TLK262207 TUX262207:TVG262207 UET262207:UFC262207 UOP262207:UOY262207 UYL262207:UYU262207 VIH262207:VIQ262207 VSD262207:VSM262207 WBZ262207:WCI262207 WLV262207:WME262207 WVR262207:WWA262207 J327743:S327743 JF327743:JO327743 TB327743:TK327743 ACX327743:ADG327743 AMT327743:ANC327743 AWP327743:AWY327743 BGL327743:BGU327743 BQH327743:BQQ327743 CAD327743:CAM327743 CJZ327743:CKI327743 CTV327743:CUE327743 DDR327743:DEA327743 DNN327743:DNW327743 DXJ327743:DXS327743 EHF327743:EHO327743 ERB327743:ERK327743 FAX327743:FBG327743 FKT327743:FLC327743 FUP327743:FUY327743 GEL327743:GEU327743 GOH327743:GOQ327743 GYD327743:GYM327743 HHZ327743:HII327743 HRV327743:HSE327743 IBR327743:ICA327743 ILN327743:ILW327743 IVJ327743:IVS327743 JFF327743:JFO327743 JPB327743:JPK327743 JYX327743:JZG327743 KIT327743:KJC327743 KSP327743:KSY327743 LCL327743:LCU327743 LMH327743:LMQ327743 LWD327743:LWM327743 MFZ327743:MGI327743 MPV327743:MQE327743 MZR327743:NAA327743 NJN327743:NJW327743 NTJ327743:NTS327743 ODF327743:ODO327743 ONB327743:ONK327743 OWX327743:OXG327743 PGT327743:PHC327743 PQP327743:PQY327743 QAL327743:QAU327743 QKH327743:QKQ327743 QUD327743:QUM327743 RDZ327743:REI327743 RNV327743:ROE327743 RXR327743:RYA327743 SHN327743:SHW327743 SRJ327743:SRS327743 TBF327743:TBO327743 TLB327743:TLK327743 TUX327743:TVG327743 UET327743:UFC327743 UOP327743:UOY327743 UYL327743:UYU327743 VIH327743:VIQ327743 VSD327743:VSM327743 WBZ327743:WCI327743 WLV327743:WME327743 WVR327743:WWA327743 J393279:S393279 JF393279:JO393279 TB393279:TK393279 ACX393279:ADG393279 AMT393279:ANC393279 AWP393279:AWY393279 BGL393279:BGU393279 BQH393279:BQQ393279 CAD393279:CAM393279 CJZ393279:CKI393279 CTV393279:CUE393279 DDR393279:DEA393279 DNN393279:DNW393279 DXJ393279:DXS393279 EHF393279:EHO393279 ERB393279:ERK393279 FAX393279:FBG393279 FKT393279:FLC393279 FUP393279:FUY393279 GEL393279:GEU393279 GOH393279:GOQ393279 GYD393279:GYM393279 HHZ393279:HII393279 HRV393279:HSE393279 IBR393279:ICA393279 ILN393279:ILW393279 IVJ393279:IVS393279 JFF393279:JFO393279 JPB393279:JPK393279 JYX393279:JZG393279 KIT393279:KJC393279 KSP393279:KSY393279 LCL393279:LCU393279 LMH393279:LMQ393279 LWD393279:LWM393279 MFZ393279:MGI393279 MPV393279:MQE393279 MZR393279:NAA393279 NJN393279:NJW393279 NTJ393279:NTS393279 ODF393279:ODO393279 ONB393279:ONK393279 OWX393279:OXG393279 PGT393279:PHC393279 PQP393279:PQY393279 QAL393279:QAU393279 QKH393279:QKQ393279 QUD393279:QUM393279 RDZ393279:REI393279 RNV393279:ROE393279 RXR393279:RYA393279 SHN393279:SHW393279 SRJ393279:SRS393279 TBF393279:TBO393279 TLB393279:TLK393279 TUX393279:TVG393279 UET393279:UFC393279 UOP393279:UOY393279 UYL393279:UYU393279 VIH393279:VIQ393279 VSD393279:VSM393279 WBZ393279:WCI393279 WLV393279:WME393279 WVR393279:WWA393279 J458815:S458815 JF458815:JO458815 TB458815:TK458815 ACX458815:ADG458815 AMT458815:ANC458815 AWP458815:AWY458815 BGL458815:BGU458815 BQH458815:BQQ458815 CAD458815:CAM458815 CJZ458815:CKI458815 CTV458815:CUE458815 DDR458815:DEA458815 DNN458815:DNW458815 DXJ458815:DXS458815 EHF458815:EHO458815 ERB458815:ERK458815 FAX458815:FBG458815 FKT458815:FLC458815 FUP458815:FUY458815 GEL458815:GEU458815 GOH458815:GOQ458815 GYD458815:GYM458815 HHZ458815:HII458815 HRV458815:HSE458815 IBR458815:ICA458815 ILN458815:ILW458815 IVJ458815:IVS458815 JFF458815:JFO458815 JPB458815:JPK458815 JYX458815:JZG458815 KIT458815:KJC458815 KSP458815:KSY458815 LCL458815:LCU458815 LMH458815:LMQ458815 LWD458815:LWM458815 MFZ458815:MGI458815 MPV458815:MQE458815 MZR458815:NAA458815 NJN458815:NJW458815 NTJ458815:NTS458815 ODF458815:ODO458815 ONB458815:ONK458815 OWX458815:OXG458815 PGT458815:PHC458815 PQP458815:PQY458815 QAL458815:QAU458815 QKH458815:QKQ458815 QUD458815:QUM458815 RDZ458815:REI458815 RNV458815:ROE458815 RXR458815:RYA458815 SHN458815:SHW458815 SRJ458815:SRS458815 TBF458815:TBO458815 TLB458815:TLK458815 TUX458815:TVG458815 UET458815:UFC458815 UOP458815:UOY458815 UYL458815:UYU458815 VIH458815:VIQ458815 VSD458815:VSM458815 WBZ458815:WCI458815 WLV458815:WME458815 WVR458815:WWA458815 J524351:S524351 JF524351:JO524351 TB524351:TK524351 ACX524351:ADG524351 AMT524351:ANC524351 AWP524351:AWY524351 BGL524351:BGU524351 BQH524351:BQQ524351 CAD524351:CAM524351 CJZ524351:CKI524351 CTV524351:CUE524351 DDR524351:DEA524351 DNN524351:DNW524351 DXJ524351:DXS524351 EHF524351:EHO524351 ERB524351:ERK524351 FAX524351:FBG524351 FKT524351:FLC524351 FUP524351:FUY524351 GEL524351:GEU524351 GOH524351:GOQ524351 GYD524351:GYM524351 HHZ524351:HII524351 HRV524351:HSE524351 IBR524351:ICA524351 ILN524351:ILW524351 IVJ524351:IVS524351 JFF524351:JFO524351 JPB524351:JPK524351 JYX524351:JZG524351 KIT524351:KJC524351 KSP524351:KSY524351 LCL524351:LCU524351 LMH524351:LMQ524351 LWD524351:LWM524351 MFZ524351:MGI524351 MPV524351:MQE524351 MZR524351:NAA524351 NJN524351:NJW524351 NTJ524351:NTS524351 ODF524351:ODO524351 ONB524351:ONK524351 OWX524351:OXG524351 PGT524351:PHC524351 PQP524351:PQY524351 QAL524351:QAU524351 QKH524351:QKQ524351 QUD524351:QUM524351 RDZ524351:REI524351 RNV524351:ROE524351 RXR524351:RYA524351 SHN524351:SHW524351 SRJ524351:SRS524351 TBF524351:TBO524351 TLB524351:TLK524351 TUX524351:TVG524351 UET524351:UFC524351 UOP524351:UOY524351 UYL524351:UYU524351 VIH524351:VIQ524351 VSD524351:VSM524351 WBZ524351:WCI524351 WLV524351:WME524351 WVR524351:WWA524351 J589887:S589887 JF589887:JO589887 TB589887:TK589887 ACX589887:ADG589887 AMT589887:ANC589887 AWP589887:AWY589887 BGL589887:BGU589887 BQH589887:BQQ589887 CAD589887:CAM589887 CJZ589887:CKI589887 CTV589887:CUE589887 DDR589887:DEA589887 DNN589887:DNW589887 DXJ589887:DXS589887 EHF589887:EHO589887 ERB589887:ERK589887 FAX589887:FBG589887 FKT589887:FLC589887 FUP589887:FUY589887 GEL589887:GEU589887 GOH589887:GOQ589887 GYD589887:GYM589887 HHZ589887:HII589887 HRV589887:HSE589887 IBR589887:ICA589887 ILN589887:ILW589887 IVJ589887:IVS589887 JFF589887:JFO589887 JPB589887:JPK589887 JYX589887:JZG589887 KIT589887:KJC589887 KSP589887:KSY589887 LCL589887:LCU589887 LMH589887:LMQ589887 LWD589887:LWM589887 MFZ589887:MGI589887 MPV589887:MQE589887 MZR589887:NAA589887 NJN589887:NJW589887 NTJ589887:NTS589887 ODF589887:ODO589887 ONB589887:ONK589887 OWX589887:OXG589887 PGT589887:PHC589887 PQP589887:PQY589887 QAL589887:QAU589887 QKH589887:QKQ589887 QUD589887:QUM589887 RDZ589887:REI589887 RNV589887:ROE589887 RXR589887:RYA589887 SHN589887:SHW589887 SRJ589887:SRS589887 TBF589887:TBO589887 TLB589887:TLK589887 TUX589887:TVG589887 UET589887:UFC589887 UOP589887:UOY589887 UYL589887:UYU589887 VIH589887:VIQ589887 VSD589887:VSM589887 WBZ589887:WCI589887 WLV589887:WME589887 WVR589887:WWA589887 J655423:S655423 JF655423:JO655423 TB655423:TK655423 ACX655423:ADG655423 AMT655423:ANC655423 AWP655423:AWY655423 BGL655423:BGU655423 BQH655423:BQQ655423 CAD655423:CAM655423 CJZ655423:CKI655423 CTV655423:CUE655423 DDR655423:DEA655423 DNN655423:DNW655423 DXJ655423:DXS655423 EHF655423:EHO655423 ERB655423:ERK655423 FAX655423:FBG655423 FKT655423:FLC655423 FUP655423:FUY655423 GEL655423:GEU655423 GOH655423:GOQ655423 GYD655423:GYM655423 HHZ655423:HII655423 HRV655423:HSE655423 IBR655423:ICA655423 ILN655423:ILW655423 IVJ655423:IVS655423 JFF655423:JFO655423 JPB655423:JPK655423 JYX655423:JZG655423 KIT655423:KJC655423 KSP655423:KSY655423 LCL655423:LCU655423 LMH655423:LMQ655423 LWD655423:LWM655423 MFZ655423:MGI655423 MPV655423:MQE655423 MZR655423:NAA655423 NJN655423:NJW655423 NTJ655423:NTS655423 ODF655423:ODO655423 ONB655423:ONK655423 OWX655423:OXG655423 PGT655423:PHC655423 PQP655423:PQY655423 QAL655423:QAU655423 QKH655423:QKQ655423 QUD655423:QUM655423 RDZ655423:REI655423 RNV655423:ROE655423 RXR655423:RYA655423 SHN655423:SHW655423 SRJ655423:SRS655423 TBF655423:TBO655423 TLB655423:TLK655423 TUX655423:TVG655423 UET655423:UFC655423 UOP655423:UOY655423 UYL655423:UYU655423 VIH655423:VIQ655423 VSD655423:VSM655423 WBZ655423:WCI655423 WLV655423:WME655423 WVR655423:WWA655423 J720959:S720959 JF720959:JO720959 TB720959:TK720959 ACX720959:ADG720959 AMT720959:ANC720959 AWP720959:AWY720959 BGL720959:BGU720959 BQH720959:BQQ720959 CAD720959:CAM720959 CJZ720959:CKI720959 CTV720959:CUE720959 DDR720959:DEA720959 DNN720959:DNW720959 DXJ720959:DXS720959 EHF720959:EHO720959 ERB720959:ERK720959 FAX720959:FBG720959 FKT720959:FLC720959 FUP720959:FUY720959 GEL720959:GEU720959 GOH720959:GOQ720959 GYD720959:GYM720959 HHZ720959:HII720959 HRV720959:HSE720959 IBR720959:ICA720959 ILN720959:ILW720959 IVJ720959:IVS720959 JFF720959:JFO720959 JPB720959:JPK720959 JYX720959:JZG720959 KIT720959:KJC720959 KSP720959:KSY720959 LCL720959:LCU720959 LMH720959:LMQ720959 LWD720959:LWM720959 MFZ720959:MGI720959 MPV720959:MQE720959 MZR720959:NAA720959 NJN720959:NJW720959 NTJ720959:NTS720959 ODF720959:ODO720959 ONB720959:ONK720959 OWX720959:OXG720959 PGT720959:PHC720959 PQP720959:PQY720959 QAL720959:QAU720959 QKH720959:QKQ720959 QUD720959:QUM720959 RDZ720959:REI720959 RNV720959:ROE720959 RXR720959:RYA720959 SHN720959:SHW720959 SRJ720959:SRS720959 TBF720959:TBO720959 TLB720959:TLK720959 TUX720959:TVG720959 UET720959:UFC720959 UOP720959:UOY720959 UYL720959:UYU720959 VIH720959:VIQ720959 VSD720959:VSM720959 WBZ720959:WCI720959 WLV720959:WME720959 WVR720959:WWA720959 J786495:S786495 JF786495:JO786495 TB786495:TK786495 ACX786495:ADG786495 AMT786495:ANC786495 AWP786495:AWY786495 BGL786495:BGU786495 BQH786495:BQQ786495 CAD786495:CAM786495 CJZ786495:CKI786495 CTV786495:CUE786495 DDR786495:DEA786495 DNN786495:DNW786495 DXJ786495:DXS786495 EHF786495:EHO786495 ERB786495:ERK786495 FAX786495:FBG786495 FKT786495:FLC786495 FUP786495:FUY786495 GEL786495:GEU786495 GOH786495:GOQ786495 GYD786495:GYM786495 HHZ786495:HII786495 HRV786495:HSE786495 IBR786495:ICA786495 ILN786495:ILW786495 IVJ786495:IVS786495 JFF786495:JFO786495 JPB786495:JPK786495 JYX786495:JZG786495 KIT786495:KJC786495 KSP786495:KSY786495 LCL786495:LCU786495 LMH786495:LMQ786495 LWD786495:LWM786495 MFZ786495:MGI786495 MPV786495:MQE786495 MZR786495:NAA786495 NJN786495:NJW786495 NTJ786495:NTS786495 ODF786495:ODO786495 ONB786495:ONK786495 OWX786495:OXG786495 PGT786495:PHC786495 PQP786495:PQY786495 QAL786495:QAU786495 QKH786495:QKQ786495 QUD786495:QUM786495 RDZ786495:REI786495 RNV786495:ROE786495 RXR786495:RYA786495 SHN786495:SHW786495 SRJ786495:SRS786495 TBF786495:TBO786495 TLB786495:TLK786495 TUX786495:TVG786495 UET786495:UFC786495 UOP786495:UOY786495 UYL786495:UYU786495 VIH786495:VIQ786495 VSD786495:VSM786495 WBZ786495:WCI786495 WLV786495:WME786495 WVR786495:WWA786495 J852031:S852031 JF852031:JO852031 TB852031:TK852031 ACX852031:ADG852031 AMT852031:ANC852031 AWP852031:AWY852031 BGL852031:BGU852031 BQH852031:BQQ852031 CAD852031:CAM852031 CJZ852031:CKI852031 CTV852031:CUE852031 DDR852031:DEA852031 DNN852031:DNW852031 DXJ852031:DXS852031 EHF852031:EHO852031 ERB852031:ERK852031 FAX852031:FBG852031 FKT852031:FLC852031 FUP852031:FUY852031 GEL852031:GEU852031 GOH852031:GOQ852031 GYD852031:GYM852031 HHZ852031:HII852031 HRV852031:HSE852031 IBR852031:ICA852031 ILN852031:ILW852031 IVJ852031:IVS852031 JFF852031:JFO852031 JPB852031:JPK852031 JYX852031:JZG852031 KIT852031:KJC852031 KSP852031:KSY852031 LCL852031:LCU852031 LMH852031:LMQ852031 LWD852031:LWM852031 MFZ852031:MGI852031 MPV852031:MQE852031 MZR852031:NAA852031 NJN852031:NJW852031 NTJ852031:NTS852031 ODF852031:ODO852031 ONB852031:ONK852031 OWX852031:OXG852031 PGT852031:PHC852031 PQP852031:PQY852031 QAL852031:QAU852031 QKH852031:QKQ852031 QUD852031:QUM852031 RDZ852031:REI852031 RNV852031:ROE852031 RXR852031:RYA852031 SHN852031:SHW852031 SRJ852031:SRS852031 TBF852031:TBO852031 TLB852031:TLK852031 TUX852031:TVG852031 UET852031:UFC852031 UOP852031:UOY852031 UYL852031:UYU852031 VIH852031:VIQ852031 VSD852031:VSM852031 WBZ852031:WCI852031 WLV852031:WME852031 WVR852031:WWA852031 J917567:S917567 JF917567:JO917567 TB917567:TK917567 ACX917567:ADG917567 AMT917567:ANC917567 AWP917567:AWY917567 BGL917567:BGU917567 BQH917567:BQQ917567 CAD917567:CAM917567 CJZ917567:CKI917567 CTV917567:CUE917567 DDR917567:DEA917567 DNN917567:DNW917567 DXJ917567:DXS917567 EHF917567:EHO917567 ERB917567:ERK917567 FAX917567:FBG917567 FKT917567:FLC917567 FUP917567:FUY917567 GEL917567:GEU917567 GOH917567:GOQ917567 GYD917567:GYM917567 HHZ917567:HII917567 HRV917567:HSE917567 IBR917567:ICA917567 ILN917567:ILW917567 IVJ917567:IVS917567 JFF917567:JFO917567 JPB917567:JPK917567 JYX917567:JZG917567 KIT917567:KJC917567 KSP917567:KSY917567 LCL917567:LCU917567 LMH917567:LMQ917567 LWD917567:LWM917567 MFZ917567:MGI917567 MPV917567:MQE917567 MZR917567:NAA917567 NJN917567:NJW917567 NTJ917567:NTS917567 ODF917567:ODO917567 ONB917567:ONK917567 OWX917567:OXG917567 PGT917567:PHC917567 PQP917567:PQY917567 QAL917567:QAU917567 QKH917567:QKQ917567 QUD917567:QUM917567 RDZ917567:REI917567 RNV917567:ROE917567 RXR917567:RYA917567 SHN917567:SHW917567 SRJ917567:SRS917567 TBF917567:TBO917567 TLB917567:TLK917567 TUX917567:TVG917567 UET917567:UFC917567 UOP917567:UOY917567 UYL917567:UYU917567 VIH917567:VIQ917567 VSD917567:VSM917567 WBZ917567:WCI917567 WLV917567:WME917567 WVR917567:WWA917567 J983103:S983103 JF983103:JO983103 TB983103:TK983103 ACX983103:ADG983103 AMT983103:ANC983103 AWP983103:AWY983103 BGL983103:BGU983103 BQH983103:BQQ983103 CAD983103:CAM983103 CJZ983103:CKI983103 CTV983103:CUE983103 DDR983103:DEA983103 DNN983103:DNW983103 DXJ983103:DXS983103 EHF983103:EHO983103 ERB983103:ERK983103 FAX983103:FBG983103 FKT983103:FLC983103 FUP983103:FUY983103 GEL983103:GEU983103 GOH983103:GOQ983103 GYD983103:GYM983103 HHZ983103:HII983103 HRV983103:HSE983103 IBR983103:ICA983103 ILN983103:ILW983103 IVJ983103:IVS983103 JFF983103:JFO983103 JPB983103:JPK983103 JYX983103:JZG983103 KIT983103:KJC983103 KSP983103:KSY983103 LCL983103:LCU983103 LMH983103:LMQ983103 LWD983103:LWM983103 MFZ983103:MGI983103 MPV983103:MQE983103 MZR983103:NAA983103 NJN983103:NJW983103 NTJ983103:NTS983103 ODF983103:ODO983103 ONB983103:ONK983103 OWX983103:OXG983103 PGT983103:PHC983103 PQP983103:PQY983103 QAL983103:QAU983103 QKH983103:QKQ983103 QUD983103:QUM983103 RDZ983103:REI983103 RNV983103:ROE983103 RXR983103:RYA983103 SHN983103:SHW983103 SRJ983103:SRS983103 TBF983103:TBO983103 TLB983103:TLK983103 TUX983103:TVG983103 UET983103:UFC983103 UOP983103:UOY983103 UYL983103:UYU983103 VIH983103:VIQ983103 VSD983103:VSM983103 WBZ983103:WCI983103 WLV983103:WME983103 WVR983103:WWA983103 J103:S103 JF103:JO103 TB103:TK103 ACX103:ADG103 AMT103:ANC103 AWP103:AWY103 BGL103:BGU103 BQH103:BQQ103 CAD103:CAM103 CJZ103:CKI103 CTV103:CUE103 DDR103:DEA103 DNN103:DNW103 DXJ103:DXS103 EHF103:EHO103 ERB103:ERK103 FAX103:FBG103 FKT103:FLC103 FUP103:FUY103 GEL103:GEU103 GOH103:GOQ103 GYD103:GYM103 HHZ103:HII103 HRV103:HSE103 IBR103:ICA103 ILN103:ILW103 IVJ103:IVS103 JFF103:JFO103 JPB103:JPK103 JYX103:JZG103 KIT103:KJC103 KSP103:KSY103 LCL103:LCU103 LMH103:LMQ103 LWD103:LWM103 MFZ103:MGI103 MPV103:MQE103 MZR103:NAA103 NJN103:NJW103 NTJ103:NTS103 ODF103:ODO103 ONB103:ONK103 OWX103:OXG103 PGT103:PHC103 PQP103:PQY103 QAL103:QAU103 QKH103:QKQ103 QUD103:QUM103 RDZ103:REI103 RNV103:ROE103 RXR103:RYA103 SHN103:SHW103 SRJ103:SRS103 TBF103:TBO103 TLB103:TLK103 TUX103:TVG103 UET103:UFC103 UOP103:UOY103 UYL103:UYU103 VIH103:VIQ103 VSD103:VSM103 WBZ103:WCI103 WLV103:WME103 WVR103:WWA103 J65639:S65639 JF65639:JO65639 TB65639:TK65639 ACX65639:ADG65639 AMT65639:ANC65639 AWP65639:AWY65639 BGL65639:BGU65639 BQH65639:BQQ65639 CAD65639:CAM65639 CJZ65639:CKI65639 CTV65639:CUE65639 DDR65639:DEA65639 DNN65639:DNW65639 DXJ65639:DXS65639 EHF65639:EHO65639 ERB65639:ERK65639 FAX65639:FBG65639 FKT65639:FLC65639 FUP65639:FUY65639 GEL65639:GEU65639 GOH65639:GOQ65639 GYD65639:GYM65639 HHZ65639:HII65639 HRV65639:HSE65639 IBR65639:ICA65639 ILN65639:ILW65639 IVJ65639:IVS65639 JFF65639:JFO65639 JPB65639:JPK65639 JYX65639:JZG65639 KIT65639:KJC65639 KSP65639:KSY65639 LCL65639:LCU65639 LMH65639:LMQ65639 LWD65639:LWM65639 MFZ65639:MGI65639 MPV65639:MQE65639 MZR65639:NAA65639 NJN65639:NJW65639 NTJ65639:NTS65639 ODF65639:ODO65639 ONB65639:ONK65639 OWX65639:OXG65639 PGT65639:PHC65639 PQP65639:PQY65639 QAL65639:QAU65639 QKH65639:QKQ65639 QUD65639:QUM65639 RDZ65639:REI65639 RNV65639:ROE65639 RXR65639:RYA65639 SHN65639:SHW65639 SRJ65639:SRS65639 TBF65639:TBO65639 TLB65639:TLK65639 TUX65639:TVG65639 UET65639:UFC65639 UOP65639:UOY65639 UYL65639:UYU65639 VIH65639:VIQ65639 VSD65639:VSM65639 WBZ65639:WCI65639 WLV65639:WME65639 WVR65639:WWA65639 J131175:S131175 JF131175:JO131175 TB131175:TK131175 ACX131175:ADG131175 AMT131175:ANC131175 AWP131175:AWY131175 BGL131175:BGU131175 BQH131175:BQQ131175 CAD131175:CAM131175 CJZ131175:CKI131175 CTV131175:CUE131175 DDR131175:DEA131175 DNN131175:DNW131175 DXJ131175:DXS131175 EHF131175:EHO131175 ERB131175:ERK131175 FAX131175:FBG131175 FKT131175:FLC131175 FUP131175:FUY131175 GEL131175:GEU131175 GOH131175:GOQ131175 GYD131175:GYM131175 HHZ131175:HII131175 HRV131175:HSE131175 IBR131175:ICA131175 ILN131175:ILW131175 IVJ131175:IVS131175 JFF131175:JFO131175 JPB131175:JPK131175 JYX131175:JZG131175 KIT131175:KJC131175 KSP131175:KSY131175 LCL131175:LCU131175 LMH131175:LMQ131175 LWD131175:LWM131175 MFZ131175:MGI131175 MPV131175:MQE131175 MZR131175:NAA131175 NJN131175:NJW131175 NTJ131175:NTS131175 ODF131175:ODO131175 ONB131175:ONK131175 OWX131175:OXG131175 PGT131175:PHC131175 PQP131175:PQY131175 QAL131175:QAU131175 QKH131175:QKQ131175 QUD131175:QUM131175 RDZ131175:REI131175 RNV131175:ROE131175 RXR131175:RYA131175 SHN131175:SHW131175 SRJ131175:SRS131175 TBF131175:TBO131175 TLB131175:TLK131175 TUX131175:TVG131175 UET131175:UFC131175 UOP131175:UOY131175 UYL131175:UYU131175 VIH131175:VIQ131175 VSD131175:VSM131175 WBZ131175:WCI131175 WLV131175:WME131175 WVR131175:WWA131175 J196711:S196711 JF196711:JO196711 TB196711:TK196711 ACX196711:ADG196711 AMT196711:ANC196711 AWP196711:AWY196711 BGL196711:BGU196711 BQH196711:BQQ196711 CAD196711:CAM196711 CJZ196711:CKI196711 CTV196711:CUE196711 DDR196711:DEA196711 DNN196711:DNW196711 DXJ196711:DXS196711 EHF196711:EHO196711 ERB196711:ERK196711 FAX196711:FBG196711 FKT196711:FLC196711 FUP196711:FUY196711 GEL196711:GEU196711 GOH196711:GOQ196711 GYD196711:GYM196711 HHZ196711:HII196711 HRV196711:HSE196711 IBR196711:ICA196711 ILN196711:ILW196711 IVJ196711:IVS196711 JFF196711:JFO196711 JPB196711:JPK196711 JYX196711:JZG196711 KIT196711:KJC196711 KSP196711:KSY196711 LCL196711:LCU196711 LMH196711:LMQ196711 LWD196711:LWM196711 MFZ196711:MGI196711 MPV196711:MQE196711 MZR196711:NAA196711 NJN196711:NJW196711 NTJ196711:NTS196711 ODF196711:ODO196711 ONB196711:ONK196711 OWX196711:OXG196711 PGT196711:PHC196711 PQP196711:PQY196711 QAL196711:QAU196711 QKH196711:QKQ196711 QUD196711:QUM196711 RDZ196711:REI196711 RNV196711:ROE196711 RXR196711:RYA196711 SHN196711:SHW196711 SRJ196711:SRS196711 TBF196711:TBO196711 TLB196711:TLK196711 TUX196711:TVG196711 UET196711:UFC196711 UOP196711:UOY196711 UYL196711:UYU196711 VIH196711:VIQ196711 VSD196711:VSM196711 WBZ196711:WCI196711 WLV196711:WME196711 WVR196711:WWA196711 J262247:S262247 JF262247:JO262247 TB262247:TK262247 ACX262247:ADG262247 AMT262247:ANC262247 AWP262247:AWY262247 BGL262247:BGU262247 BQH262247:BQQ262247 CAD262247:CAM262247 CJZ262247:CKI262247 CTV262247:CUE262247 DDR262247:DEA262247 DNN262247:DNW262247 DXJ262247:DXS262247 EHF262247:EHO262247 ERB262247:ERK262247 FAX262247:FBG262247 FKT262247:FLC262247 FUP262247:FUY262247 GEL262247:GEU262247 GOH262247:GOQ262247 GYD262247:GYM262247 HHZ262247:HII262247 HRV262247:HSE262247 IBR262247:ICA262247 ILN262247:ILW262247 IVJ262247:IVS262247 JFF262247:JFO262247 JPB262247:JPK262247 JYX262247:JZG262247 KIT262247:KJC262247 KSP262247:KSY262247 LCL262247:LCU262247 LMH262247:LMQ262247 LWD262247:LWM262247 MFZ262247:MGI262247 MPV262247:MQE262247 MZR262247:NAA262247 NJN262247:NJW262247 NTJ262247:NTS262247 ODF262247:ODO262247 ONB262247:ONK262247 OWX262247:OXG262247 PGT262247:PHC262247 PQP262247:PQY262247 QAL262247:QAU262247 QKH262247:QKQ262247 QUD262247:QUM262247 RDZ262247:REI262247 RNV262247:ROE262247 RXR262247:RYA262247 SHN262247:SHW262247 SRJ262247:SRS262247 TBF262247:TBO262247 TLB262247:TLK262247 TUX262247:TVG262247 UET262247:UFC262247 UOP262247:UOY262247 UYL262247:UYU262247 VIH262247:VIQ262247 VSD262247:VSM262247 WBZ262247:WCI262247 WLV262247:WME262247 WVR262247:WWA262247 J327783:S327783 JF327783:JO327783 TB327783:TK327783 ACX327783:ADG327783 AMT327783:ANC327783 AWP327783:AWY327783 BGL327783:BGU327783 BQH327783:BQQ327783 CAD327783:CAM327783 CJZ327783:CKI327783 CTV327783:CUE327783 DDR327783:DEA327783 DNN327783:DNW327783 DXJ327783:DXS327783 EHF327783:EHO327783 ERB327783:ERK327783 FAX327783:FBG327783 FKT327783:FLC327783 FUP327783:FUY327783 GEL327783:GEU327783 GOH327783:GOQ327783 GYD327783:GYM327783 HHZ327783:HII327783 HRV327783:HSE327783 IBR327783:ICA327783 ILN327783:ILW327783 IVJ327783:IVS327783 JFF327783:JFO327783 JPB327783:JPK327783 JYX327783:JZG327783 KIT327783:KJC327783 KSP327783:KSY327783 LCL327783:LCU327783 LMH327783:LMQ327783 LWD327783:LWM327783 MFZ327783:MGI327783 MPV327783:MQE327783 MZR327783:NAA327783 NJN327783:NJW327783 NTJ327783:NTS327783 ODF327783:ODO327783 ONB327783:ONK327783 OWX327783:OXG327783 PGT327783:PHC327783 PQP327783:PQY327783 QAL327783:QAU327783 QKH327783:QKQ327783 QUD327783:QUM327783 RDZ327783:REI327783 RNV327783:ROE327783 RXR327783:RYA327783 SHN327783:SHW327783 SRJ327783:SRS327783 TBF327783:TBO327783 TLB327783:TLK327783 TUX327783:TVG327783 UET327783:UFC327783 UOP327783:UOY327783 UYL327783:UYU327783 VIH327783:VIQ327783 VSD327783:VSM327783 WBZ327783:WCI327783 WLV327783:WME327783 WVR327783:WWA327783 J393319:S393319 JF393319:JO393319 TB393319:TK393319 ACX393319:ADG393319 AMT393319:ANC393319 AWP393319:AWY393319 BGL393319:BGU393319 BQH393319:BQQ393319 CAD393319:CAM393319 CJZ393319:CKI393319 CTV393319:CUE393319 DDR393319:DEA393319 DNN393319:DNW393319 DXJ393319:DXS393319 EHF393319:EHO393319 ERB393319:ERK393319 FAX393319:FBG393319 FKT393319:FLC393319 FUP393319:FUY393319 GEL393319:GEU393319 GOH393319:GOQ393319 GYD393319:GYM393319 HHZ393319:HII393319 HRV393319:HSE393319 IBR393319:ICA393319 ILN393319:ILW393319 IVJ393319:IVS393319 JFF393319:JFO393319 JPB393319:JPK393319 JYX393319:JZG393319 KIT393319:KJC393319 KSP393319:KSY393319 LCL393319:LCU393319 LMH393319:LMQ393319 LWD393319:LWM393319 MFZ393319:MGI393319 MPV393319:MQE393319 MZR393319:NAA393319 NJN393319:NJW393319 NTJ393319:NTS393319 ODF393319:ODO393319 ONB393319:ONK393319 OWX393319:OXG393319 PGT393319:PHC393319 PQP393319:PQY393319 QAL393319:QAU393319 QKH393319:QKQ393319 QUD393319:QUM393319 RDZ393319:REI393319 RNV393319:ROE393319 RXR393319:RYA393319 SHN393319:SHW393319 SRJ393319:SRS393319 TBF393319:TBO393319 TLB393319:TLK393319 TUX393319:TVG393319 UET393319:UFC393319 UOP393319:UOY393319 UYL393319:UYU393319 VIH393319:VIQ393319 VSD393319:VSM393319 WBZ393319:WCI393319 WLV393319:WME393319 WVR393319:WWA393319 J458855:S458855 JF458855:JO458855 TB458855:TK458855 ACX458855:ADG458855 AMT458855:ANC458855 AWP458855:AWY458855 BGL458855:BGU458855 BQH458855:BQQ458855 CAD458855:CAM458855 CJZ458855:CKI458855 CTV458855:CUE458855 DDR458855:DEA458855 DNN458855:DNW458855 DXJ458855:DXS458855 EHF458855:EHO458855 ERB458855:ERK458855 FAX458855:FBG458855 FKT458855:FLC458855 FUP458855:FUY458855 GEL458855:GEU458855 GOH458855:GOQ458855 GYD458855:GYM458855 HHZ458855:HII458855 HRV458855:HSE458855 IBR458855:ICA458855 ILN458855:ILW458855 IVJ458855:IVS458855 JFF458855:JFO458855 JPB458855:JPK458855 JYX458855:JZG458855 KIT458855:KJC458855 KSP458855:KSY458855 LCL458855:LCU458855 LMH458855:LMQ458855 LWD458855:LWM458855 MFZ458855:MGI458855 MPV458855:MQE458855 MZR458855:NAA458855 NJN458855:NJW458855 NTJ458855:NTS458855 ODF458855:ODO458855 ONB458855:ONK458855 OWX458855:OXG458855 PGT458855:PHC458855 PQP458855:PQY458855 QAL458855:QAU458855 QKH458855:QKQ458855 QUD458855:QUM458855 RDZ458855:REI458855 RNV458855:ROE458855 RXR458855:RYA458855 SHN458855:SHW458855 SRJ458855:SRS458855 TBF458855:TBO458855 TLB458855:TLK458855 TUX458855:TVG458855 UET458855:UFC458855 UOP458855:UOY458855 UYL458855:UYU458855 VIH458855:VIQ458855 VSD458855:VSM458855 WBZ458855:WCI458855 WLV458855:WME458855 WVR458855:WWA458855 J524391:S524391 JF524391:JO524391 TB524391:TK524391 ACX524391:ADG524391 AMT524391:ANC524391 AWP524391:AWY524391 BGL524391:BGU524391 BQH524391:BQQ524391 CAD524391:CAM524391 CJZ524391:CKI524391 CTV524391:CUE524391 DDR524391:DEA524391 DNN524391:DNW524391 DXJ524391:DXS524391 EHF524391:EHO524391 ERB524391:ERK524391 FAX524391:FBG524391 FKT524391:FLC524391 FUP524391:FUY524391 GEL524391:GEU524391 GOH524391:GOQ524391 GYD524391:GYM524391 HHZ524391:HII524391 HRV524391:HSE524391 IBR524391:ICA524391 ILN524391:ILW524391 IVJ524391:IVS524391 JFF524391:JFO524391 JPB524391:JPK524391 JYX524391:JZG524391 KIT524391:KJC524391 KSP524391:KSY524391 LCL524391:LCU524391 LMH524391:LMQ524391 LWD524391:LWM524391 MFZ524391:MGI524391 MPV524391:MQE524391 MZR524391:NAA524391 NJN524391:NJW524391 NTJ524391:NTS524391 ODF524391:ODO524391 ONB524391:ONK524391 OWX524391:OXG524391 PGT524391:PHC524391 PQP524391:PQY524391 QAL524391:QAU524391 QKH524391:QKQ524391 QUD524391:QUM524391 RDZ524391:REI524391 RNV524391:ROE524391 RXR524391:RYA524391 SHN524391:SHW524391 SRJ524391:SRS524391 TBF524391:TBO524391 TLB524391:TLK524391 TUX524391:TVG524391 UET524391:UFC524391 UOP524391:UOY524391 UYL524391:UYU524391 VIH524391:VIQ524391 VSD524391:VSM524391 WBZ524391:WCI524391 WLV524391:WME524391 WVR524391:WWA524391 J589927:S589927 JF589927:JO589927 TB589927:TK589927 ACX589927:ADG589927 AMT589927:ANC589927 AWP589927:AWY589927 BGL589927:BGU589927 BQH589927:BQQ589927 CAD589927:CAM589927 CJZ589927:CKI589927 CTV589927:CUE589927 DDR589927:DEA589927 DNN589927:DNW589927 DXJ589927:DXS589927 EHF589927:EHO589927 ERB589927:ERK589927 FAX589927:FBG589927 FKT589927:FLC589927 FUP589927:FUY589927 GEL589927:GEU589927 GOH589927:GOQ589927 GYD589927:GYM589927 HHZ589927:HII589927 HRV589927:HSE589927 IBR589927:ICA589927 ILN589927:ILW589927 IVJ589927:IVS589927 JFF589927:JFO589927 JPB589927:JPK589927 JYX589927:JZG589927 KIT589927:KJC589927 KSP589927:KSY589927 LCL589927:LCU589927 LMH589927:LMQ589927 LWD589927:LWM589927 MFZ589927:MGI589927 MPV589927:MQE589927 MZR589927:NAA589927 NJN589927:NJW589927 NTJ589927:NTS589927 ODF589927:ODO589927 ONB589927:ONK589927 OWX589927:OXG589927 PGT589927:PHC589927 PQP589927:PQY589927 QAL589927:QAU589927 QKH589927:QKQ589927 QUD589927:QUM589927 RDZ589927:REI589927 RNV589927:ROE589927 RXR589927:RYA589927 SHN589927:SHW589927 SRJ589927:SRS589927 TBF589927:TBO589927 TLB589927:TLK589927 TUX589927:TVG589927 UET589927:UFC589927 UOP589927:UOY589927 UYL589927:UYU589927 VIH589927:VIQ589927 VSD589927:VSM589927 WBZ589927:WCI589927 WLV589927:WME589927 WVR589927:WWA589927 J655463:S655463 JF655463:JO655463 TB655463:TK655463 ACX655463:ADG655463 AMT655463:ANC655463 AWP655463:AWY655463 BGL655463:BGU655463 BQH655463:BQQ655463 CAD655463:CAM655463 CJZ655463:CKI655463 CTV655463:CUE655463 DDR655463:DEA655463 DNN655463:DNW655463 DXJ655463:DXS655463 EHF655463:EHO655463 ERB655463:ERK655463 FAX655463:FBG655463 FKT655463:FLC655463 FUP655463:FUY655463 GEL655463:GEU655463 GOH655463:GOQ655463 GYD655463:GYM655463 HHZ655463:HII655463 HRV655463:HSE655463 IBR655463:ICA655463 ILN655463:ILW655463 IVJ655463:IVS655463 JFF655463:JFO655463 JPB655463:JPK655463 JYX655463:JZG655463 KIT655463:KJC655463 KSP655463:KSY655463 LCL655463:LCU655463 LMH655463:LMQ655463 LWD655463:LWM655463 MFZ655463:MGI655463 MPV655463:MQE655463 MZR655463:NAA655463 NJN655463:NJW655463 NTJ655463:NTS655463 ODF655463:ODO655463 ONB655463:ONK655463 OWX655463:OXG655463 PGT655463:PHC655463 PQP655463:PQY655463 QAL655463:QAU655463 QKH655463:QKQ655463 QUD655463:QUM655463 RDZ655463:REI655463 RNV655463:ROE655463 RXR655463:RYA655463 SHN655463:SHW655463 SRJ655463:SRS655463 TBF655463:TBO655463 TLB655463:TLK655463 TUX655463:TVG655463 UET655463:UFC655463 UOP655463:UOY655463 UYL655463:UYU655463 VIH655463:VIQ655463 VSD655463:VSM655463 WBZ655463:WCI655463 WLV655463:WME655463 WVR655463:WWA655463 J720999:S720999 JF720999:JO720999 TB720999:TK720999 ACX720999:ADG720999 AMT720999:ANC720999 AWP720999:AWY720999 BGL720999:BGU720999 BQH720999:BQQ720999 CAD720999:CAM720999 CJZ720999:CKI720999 CTV720999:CUE720999 DDR720999:DEA720999 DNN720999:DNW720999 DXJ720999:DXS720999 EHF720999:EHO720999 ERB720999:ERK720999 FAX720999:FBG720999 FKT720999:FLC720999 FUP720999:FUY720999 GEL720999:GEU720999 GOH720999:GOQ720999 GYD720999:GYM720999 HHZ720999:HII720999 HRV720999:HSE720999 IBR720999:ICA720999 ILN720999:ILW720999 IVJ720999:IVS720999 JFF720999:JFO720999 JPB720999:JPK720999 JYX720999:JZG720999 KIT720999:KJC720999 KSP720999:KSY720999 LCL720999:LCU720999 LMH720999:LMQ720999 LWD720999:LWM720999 MFZ720999:MGI720999 MPV720999:MQE720999 MZR720999:NAA720999 NJN720999:NJW720999 NTJ720999:NTS720999 ODF720999:ODO720999 ONB720999:ONK720999 OWX720999:OXG720999 PGT720999:PHC720999 PQP720999:PQY720999 QAL720999:QAU720999 QKH720999:QKQ720999 QUD720999:QUM720999 RDZ720999:REI720999 RNV720999:ROE720999 RXR720999:RYA720999 SHN720999:SHW720999 SRJ720999:SRS720999 TBF720999:TBO720999 TLB720999:TLK720999 TUX720999:TVG720999 UET720999:UFC720999 UOP720999:UOY720999 UYL720999:UYU720999 VIH720999:VIQ720999 VSD720999:VSM720999 WBZ720999:WCI720999 WLV720999:WME720999 WVR720999:WWA720999 J786535:S786535 JF786535:JO786535 TB786535:TK786535 ACX786535:ADG786535 AMT786535:ANC786535 AWP786535:AWY786535 BGL786535:BGU786535 BQH786535:BQQ786535 CAD786535:CAM786535 CJZ786535:CKI786535 CTV786535:CUE786535 DDR786535:DEA786535 DNN786535:DNW786535 DXJ786535:DXS786535 EHF786535:EHO786535 ERB786535:ERK786535 FAX786535:FBG786535 FKT786535:FLC786535 FUP786535:FUY786535 GEL786535:GEU786535 GOH786535:GOQ786535 GYD786535:GYM786535 HHZ786535:HII786535 HRV786535:HSE786535 IBR786535:ICA786535 ILN786535:ILW786535 IVJ786535:IVS786535 JFF786535:JFO786535 JPB786535:JPK786535 JYX786535:JZG786535 KIT786535:KJC786535 KSP786535:KSY786535 LCL786535:LCU786535 LMH786535:LMQ786535 LWD786535:LWM786535 MFZ786535:MGI786535 MPV786535:MQE786535 MZR786535:NAA786535 NJN786535:NJW786535 NTJ786535:NTS786535 ODF786535:ODO786535 ONB786535:ONK786535 OWX786535:OXG786535 PGT786535:PHC786535 PQP786535:PQY786535 QAL786535:QAU786535 QKH786535:QKQ786535 QUD786535:QUM786535 RDZ786535:REI786535 RNV786535:ROE786535 RXR786535:RYA786535 SHN786535:SHW786535 SRJ786535:SRS786535 TBF786535:TBO786535 TLB786535:TLK786535 TUX786535:TVG786535 UET786535:UFC786535 UOP786535:UOY786535 UYL786535:UYU786535 VIH786535:VIQ786535 VSD786535:VSM786535 WBZ786535:WCI786535 WLV786535:WME786535 WVR786535:WWA786535 J852071:S852071 JF852071:JO852071 TB852071:TK852071 ACX852071:ADG852071 AMT852071:ANC852071 AWP852071:AWY852071 BGL852071:BGU852071 BQH852071:BQQ852071 CAD852071:CAM852071 CJZ852071:CKI852071 CTV852071:CUE852071 DDR852071:DEA852071 DNN852071:DNW852071 DXJ852071:DXS852071 EHF852071:EHO852071 ERB852071:ERK852071 FAX852071:FBG852071 FKT852071:FLC852071 FUP852071:FUY852071 GEL852071:GEU852071 GOH852071:GOQ852071 GYD852071:GYM852071 HHZ852071:HII852071 HRV852071:HSE852071 IBR852071:ICA852071 ILN852071:ILW852071 IVJ852071:IVS852071 JFF852071:JFO852071 JPB852071:JPK852071 JYX852071:JZG852071 KIT852071:KJC852071 KSP852071:KSY852071 LCL852071:LCU852071 LMH852071:LMQ852071 LWD852071:LWM852071 MFZ852071:MGI852071 MPV852071:MQE852071 MZR852071:NAA852071 NJN852071:NJW852071 NTJ852071:NTS852071 ODF852071:ODO852071 ONB852071:ONK852071 OWX852071:OXG852071 PGT852071:PHC852071 PQP852071:PQY852071 QAL852071:QAU852071 QKH852071:QKQ852071 QUD852071:QUM852071 RDZ852071:REI852071 RNV852071:ROE852071 RXR852071:RYA852071 SHN852071:SHW852071 SRJ852071:SRS852071 TBF852071:TBO852071 TLB852071:TLK852071 TUX852071:TVG852071 UET852071:UFC852071 UOP852071:UOY852071 UYL852071:UYU852071 VIH852071:VIQ852071 VSD852071:VSM852071 WBZ852071:WCI852071 WLV852071:WME852071 WVR852071:WWA852071 J917607:S917607 JF917607:JO917607 TB917607:TK917607 ACX917607:ADG917607 AMT917607:ANC917607 AWP917607:AWY917607 BGL917607:BGU917607 BQH917607:BQQ917607 CAD917607:CAM917607 CJZ917607:CKI917607 CTV917607:CUE917607 DDR917607:DEA917607 DNN917607:DNW917607 DXJ917607:DXS917607 EHF917607:EHO917607 ERB917607:ERK917607 FAX917607:FBG917607 FKT917607:FLC917607 FUP917607:FUY917607 GEL917607:GEU917607 GOH917607:GOQ917607 GYD917607:GYM917607 HHZ917607:HII917607 HRV917607:HSE917607 IBR917607:ICA917607 ILN917607:ILW917607 IVJ917607:IVS917607 JFF917607:JFO917607 JPB917607:JPK917607 JYX917607:JZG917607 KIT917607:KJC917607 KSP917607:KSY917607 LCL917607:LCU917607 LMH917607:LMQ917607 LWD917607:LWM917607 MFZ917607:MGI917607 MPV917607:MQE917607 MZR917607:NAA917607 NJN917607:NJW917607 NTJ917607:NTS917607 ODF917607:ODO917607 ONB917607:ONK917607 OWX917607:OXG917607 PGT917607:PHC917607 PQP917607:PQY917607 QAL917607:QAU917607 QKH917607:QKQ917607 QUD917607:QUM917607 RDZ917607:REI917607 RNV917607:ROE917607 RXR917607:RYA917607 SHN917607:SHW917607 SRJ917607:SRS917607 TBF917607:TBO917607 TLB917607:TLK917607 TUX917607:TVG917607 UET917607:UFC917607 UOP917607:UOY917607 UYL917607:UYU917607 VIH917607:VIQ917607 VSD917607:VSM917607 WBZ917607:WCI917607 WLV917607:WME917607 WVR917607:WWA917607 J983143:S983143 JF983143:JO983143 TB983143:TK983143 ACX983143:ADG983143 AMT983143:ANC983143 AWP983143:AWY983143 BGL983143:BGU983143 BQH983143:BQQ983143 CAD983143:CAM983143 CJZ983143:CKI983143 CTV983143:CUE983143 DDR983143:DEA983143 DNN983143:DNW983143 DXJ983143:DXS983143 EHF983143:EHO983143 ERB983143:ERK983143 FAX983143:FBG983143 FKT983143:FLC983143 FUP983143:FUY983143 GEL983143:GEU983143 GOH983143:GOQ983143 GYD983143:GYM983143 HHZ983143:HII983143 HRV983143:HSE983143 IBR983143:ICA983143 ILN983143:ILW983143 IVJ983143:IVS983143 JFF983143:JFO983143 JPB983143:JPK983143 JYX983143:JZG983143 KIT983143:KJC983143 KSP983143:KSY983143 LCL983143:LCU983143 LMH983143:LMQ983143 LWD983143:LWM983143 MFZ983143:MGI983143 MPV983143:MQE983143 MZR983143:NAA983143 NJN983143:NJW983143 NTJ983143:NTS983143 ODF983143:ODO983143 ONB983143:ONK983143 OWX983143:OXG983143 PGT983143:PHC983143 PQP983143:PQY983143 QAL983143:QAU983143 QKH983143:QKQ983143 QUD983143:QUM983143 RDZ983143:REI983143 RNV983143:ROE983143 RXR983143:RYA983143 SHN983143:SHW983143 SRJ983143:SRS983143 TBF983143:TBO983143 TLB983143:TLK983143 TUX983143:TVG983143 UET983143:UFC983143 UOP983143:UOY983143 UYL983143:UYU983143 VIH983143:VIQ983143 VSD983143:VSM983143 WBZ983143:WCI983143 WLV983143:WME983143 WVR983143:WWA983143">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R17:S17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R18:S18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553:S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R131089:S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R196625:S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R262161:S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R327697:S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R393233:S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R458769:S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R524305:S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R589841:S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R655377:S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R720913:S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R786449:S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R851985:S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R917521:S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R983057:S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formula1>0</formula1>
      <formula2>0</formula2>
    </dataValidation>
    <dataValidation operator="greaterThanOrEqual" allowBlank="1" showErrorMessage="1" errorTitle="Erro de valores" error="Digite um valor igual a 0% ou 2%." sqref="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74 JO74 TK74 ADG74 ANC74 AWY74 BGU74 BQQ74 CAM74 CKI74 CUE74 DEA74 DNW74 DXS74 EHO74 ERK74 FBG74 FLC74 FUY74 GEU74 GOQ74 GYM74 HII74 HSE74 ICA74 ILW74 IVS74 JFO74 JPK74 JZG74 KJC74 KSY74 LCU74 LMQ74 LWM74 MGI74 MQE74 NAA74 NJW74 NTS74 ODO74 ONK74 OXG74 PHC74 PQY74 QAU74 QKQ74 QUM74 REI74 ROE74 RYA74 SHW74 SRS74 TBO74 TLK74 TVG74 UFC74 UOY74 UYU74 VIQ74 VSM74 WCI74 WME74 WWA74 S65610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S131146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S196682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S262218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S327754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S393290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S458826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S524362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S589898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S655434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S720970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S786506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S852042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S917578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S983114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S114 JO114 TK114 ADG114 ANC114 AWY114 BGU114 BQQ114 CAM114 CKI114 CUE114 DEA114 DNW114 DXS114 EHO114 ERK114 FBG114 FLC114 FUY114 GEU114 GOQ114 GYM114 HII114 HSE114 ICA114 ILW114 IVS114 JFO114 JPK114 JZG114 KJC114 KSY114 LCU114 LMQ114 LWM114 MGI114 MQE114 NAA114 NJW114 NTS114 ODO114 ONK114 OXG114 PHC114 PQY114 QAU114 QKQ114 QUM114 REI114 ROE114 RYA114 SHW114 SRS114 TBO114 TLK114 TVG114 UFC114 UOY114 UYU114 VIQ114 VSM114 WCI114 WME114 WWA114 S65650 JO65650 TK65650 ADG65650 ANC65650 AWY65650 BGU65650 BQQ65650 CAM65650 CKI65650 CUE65650 DEA65650 DNW65650 DXS65650 EHO65650 ERK65650 FBG65650 FLC65650 FUY65650 GEU65650 GOQ65650 GYM65650 HII65650 HSE65650 ICA65650 ILW65650 IVS65650 JFO65650 JPK65650 JZG65650 KJC65650 KSY65650 LCU65650 LMQ65650 LWM65650 MGI65650 MQE65650 NAA65650 NJW65650 NTS65650 ODO65650 ONK65650 OXG65650 PHC65650 PQY65650 QAU65650 QKQ65650 QUM65650 REI65650 ROE65650 RYA65650 SHW65650 SRS65650 TBO65650 TLK65650 TVG65650 UFC65650 UOY65650 UYU65650 VIQ65650 VSM65650 WCI65650 WME65650 WWA65650 S131186 JO131186 TK131186 ADG131186 ANC131186 AWY131186 BGU131186 BQQ131186 CAM131186 CKI131186 CUE131186 DEA131186 DNW131186 DXS131186 EHO131186 ERK131186 FBG131186 FLC131186 FUY131186 GEU131186 GOQ131186 GYM131186 HII131186 HSE131186 ICA131186 ILW131186 IVS131186 JFO131186 JPK131186 JZG131186 KJC131186 KSY131186 LCU131186 LMQ131186 LWM131186 MGI131186 MQE131186 NAA131186 NJW131186 NTS131186 ODO131186 ONK131186 OXG131186 PHC131186 PQY131186 QAU131186 QKQ131186 QUM131186 REI131186 ROE131186 RYA131186 SHW131186 SRS131186 TBO131186 TLK131186 TVG131186 UFC131186 UOY131186 UYU131186 VIQ131186 VSM131186 WCI131186 WME131186 WWA131186 S196722 JO196722 TK196722 ADG196722 ANC196722 AWY196722 BGU196722 BQQ196722 CAM196722 CKI196722 CUE196722 DEA196722 DNW196722 DXS196722 EHO196722 ERK196722 FBG196722 FLC196722 FUY196722 GEU196722 GOQ196722 GYM196722 HII196722 HSE196722 ICA196722 ILW196722 IVS196722 JFO196722 JPK196722 JZG196722 KJC196722 KSY196722 LCU196722 LMQ196722 LWM196722 MGI196722 MQE196722 NAA196722 NJW196722 NTS196722 ODO196722 ONK196722 OXG196722 PHC196722 PQY196722 QAU196722 QKQ196722 QUM196722 REI196722 ROE196722 RYA196722 SHW196722 SRS196722 TBO196722 TLK196722 TVG196722 UFC196722 UOY196722 UYU196722 VIQ196722 VSM196722 WCI196722 WME196722 WWA196722 S262258 JO262258 TK262258 ADG262258 ANC262258 AWY262258 BGU262258 BQQ262258 CAM262258 CKI262258 CUE262258 DEA262258 DNW262258 DXS262258 EHO262258 ERK262258 FBG262258 FLC262258 FUY262258 GEU262258 GOQ262258 GYM262258 HII262258 HSE262258 ICA262258 ILW262258 IVS262258 JFO262258 JPK262258 JZG262258 KJC262258 KSY262258 LCU262258 LMQ262258 LWM262258 MGI262258 MQE262258 NAA262258 NJW262258 NTS262258 ODO262258 ONK262258 OXG262258 PHC262258 PQY262258 QAU262258 QKQ262258 QUM262258 REI262258 ROE262258 RYA262258 SHW262258 SRS262258 TBO262258 TLK262258 TVG262258 UFC262258 UOY262258 UYU262258 VIQ262258 VSM262258 WCI262258 WME262258 WWA262258 S327794 JO327794 TK327794 ADG327794 ANC327794 AWY327794 BGU327794 BQQ327794 CAM327794 CKI327794 CUE327794 DEA327794 DNW327794 DXS327794 EHO327794 ERK327794 FBG327794 FLC327794 FUY327794 GEU327794 GOQ327794 GYM327794 HII327794 HSE327794 ICA327794 ILW327794 IVS327794 JFO327794 JPK327794 JZG327794 KJC327794 KSY327794 LCU327794 LMQ327794 LWM327794 MGI327794 MQE327794 NAA327794 NJW327794 NTS327794 ODO327794 ONK327794 OXG327794 PHC327794 PQY327794 QAU327794 QKQ327794 QUM327794 REI327794 ROE327794 RYA327794 SHW327794 SRS327794 TBO327794 TLK327794 TVG327794 UFC327794 UOY327794 UYU327794 VIQ327794 VSM327794 WCI327794 WME327794 WWA327794 S393330 JO393330 TK393330 ADG393330 ANC393330 AWY393330 BGU393330 BQQ393330 CAM393330 CKI393330 CUE393330 DEA393330 DNW393330 DXS393330 EHO393330 ERK393330 FBG393330 FLC393330 FUY393330 GEU393330 GOQ393330 GYM393330 HII393330 HSE393330 ICA393330 ILW393330 IVS393330 JFO393330 JPK393330 JZG393330 KJC393330 KSY393330 LCU393330 LMQ393330 LWM393330 MGI393330 MQE393330 NAA393330 NJW393330 NTS393330 ODO393330 ONK393330 OXG393330 PHC393330 PQY393330 QAU393330 QKQ393330 QUM393330 REI393330 ROE393330 RYA393330 SHW393330 SRS393330 TBO393330 TLK393330 TVG393330 UFC393330 UOY393330 UYU393330 VIQ393330 VSM393330 WCI393330 WME393330 WWA393330 S458866 JO458866 TK458866 ADG458866 ANC458866 AWY458866 BGU458866 BQQ458866 CAM458866 CKI458866 CUE458866 DEA458866 DNW458866 DXS458866 EHO458866 ERK458866 FBG458866 FLC458866 FUY458866 GEU458866 GOQ458866 GYM458866 HII458866 HSE458866 ICA458866 ILW458866 IVS458866 JFO458866 JPK458866 JZG458866 KJC458866 KSY458866 LCU458866 LMQ458866 LWM458866 MGI458866 MQE458866 NAA458866 NJW458866 NTS458866 ODO458866 ONK458866 OXG458866 PHC458866 PQY458866 QAU458866 QKQ458866 QUM458866 REI458866 ROE458866 RYA458866 SHW458866 SRS458866 TBO458866 TLK458866 TVG458866 UFC458866 UOY458866 UYU458866 VIQ458866 VSM458866 WCI458866 WME458866 WWA458866 S524402 JO524402 TK524402 ADG524402 ANC524402 AWY524402 BGU524402 BQQ524402 CAM524402 CKI524402 CUE524402 DEA524402 DNW524402 DXS524402 EHO524402 ERK524402 FBG524402 FLC524402 FUY524402 GEU524402 GOQ524402 GYM524402 HII524402 HSE524402 ICA524402 ILW524402 IVS524402 JFO524402 JPK524402 JZG524402 KJC524402 KSY524402 LCU524402 LMQ524402 LWM524402 MGI524402 MQE524402 NAA524402 NJW524402 NTS524402 ODO524402 ONK524402 OXG524402 PHC524402 PQY524402 QAU524402 QKQ524402 QUM524402 REI524402 ROE524402 RYA524402 SHW524402 SRS524402 TBO524402 TLK524402 TVG524402 UFC524402 UOY524402 UYU524402 VIQ524402 VSM524402 WCI524402 WME524402 WWA524402 S589938 JO589938 TK589938 ADG589938 ANC589938 AWY589938 BGU589938 BQQ589938 CAM589938 CKI589938 CUE589938 DEA589938 DNW589938 DXS589938 EHO589938 ERK589938 FBG589938 FLC589938 FUY589938 GEU589938 GOQ589938 GYM589938 HII589938 HSE589938 ICA589938 ILW589938 IVS589938 JFO589938 JPK589938 JZG589938 KJC589938 KSY589938 LCU589938 LMQ589938 LWM589938 MGI589938 MQE589938 NAA589938 NJW589938 NTS589938 ODO589938 ONK589938 OXG589938 PHC589938 PQY589938 QAU589938 QKQ589938 QUM589938 REI589938 ROE589938 RYA589938 SHW589938 SRS589938 TBO589938 TLK589938 TVG589938 UFC589938 UOY589938 UYU589938 VIQ589938 VSM589938 WCI589938 WME589938 WWA589938 S655474 JO655474 TK655474 ADG655474 ANC655474 AWY655474 BGU655474 BQQ655474 CAM655474 CKI655474 CUE655474 DEA655474 DNW655474 DXS655474 EHO655474 ERK655474 FBG655474 FLC655474 FUY655474 GEU655474 GOQ655474 GYM655474 HII655474 HSE655474 ICA655474 ILW655474 IVS655474 JFO655474 JPK655474 JZG655474 KJC655474 KSY655474 LCU655474 LMQ655474 LWM655474 MGI655474 MQE655474 NAA655474 NJW655474 NTS655474 ODO655474 ONK655474 OXG655474 PHC655474 PQY655474 QAU655474 QKQ655474 QUM655474 REI655474 ROE655474 RYA655474 SHW655474 SRS655474 TBO655474 TLK655474 TVG655474 UFC655474 UOY655474 UYU655474 VIQ655474 VSM655474 WCI655474 WME655474 WWA655474 S721010 JO721010 TK721010 ADG721010 ANC721010 AWY721010 BGU721010 BQQ721010 CAM721010 CKI721010 CUE721010 DEA721010 DNW721010 DXS721010 EHO721010 ERK721010 FBG721010 FLC721010 FUY721010 GEU721010 GOQ721010 GYM721010 HII721010 HSE721010 ICA721010 ILW721010 IVS721010 JFO721010 JPK721010 JZG721010 KJC721010 KSY721010 LCU721010 LMQ721010 LWM721010 MGI721010 MQE721010 NAA721010 NJW721010 NTS721010 ODO721010 ONK721010 OXG721010 PHC721010 PQY721010 QAU721010 QKQ721010 QUM721010 REI721010 ROE721010 RYA721010 SHW721010 SRS721010 TBO721010 TLK721010 TVG721010 UFC721010 UOY721010 UYU721010 VIQ721010 VSM721010 WCI721010 WME721010 WWA721010 S786546 JO786546 TK786546 ADG786546 ANC786546 AWY786546 BGU786546 BQQ786546 CAM786546 CKI786546 CUE786546 DEA786546 DNW786546 DXS786546 EHO786546 ERK786546 FBG786546 FLC786546 FUY786546 GEU786546 GOQ786546 GYM786546 HII786546 HSE786546 ICA786546 ILW786546 IVS786546 JFO786546 JPK786546 JZG786546 KJC786546 KSY786546 LCU786546 LMQ786546 LWM786546 MGI786546 MQE786546 NAA786546 NJW786546 NTS786546 ODO786546 ONK786546 OXG786546 PHC786546 PQY786546 QAU786546 QKQ786546 QUM786546 REI786546 ROE786546 RYA786546 SHW786546 SRS786546 TBO786546 TLK786546 TVG786546 UFC786546 UOY786546 UYU786546 VIQ786546 VSM786546 WCI786546 WME786546 WWA786546 S852082 JO852082 TK852082 ADG852082 ANC852082 AWY852082 BGU852082 BQQ852082 CAM852082 CKI852082 CUE852082 DEA852082 DNW852082 DXS852082 EHO852082 ERK852082 FBG852082 FLC852082 FUY852082 GEU852082 GOQ852082 GYM852082 HII852082 HSE852082 ICA852082 ILW852082 IVS852082 JFO852082 JPK852082 JZG852082 KJC852082 KSY852082 LCU852082 LMQ852082 LWM852082 MGI852082 MQE852082 NAA852082 NJW852082 NTS852082 ODO852082 ONK852082 OXG852082 PHC852082 PQY852082 QAU852082 QKQ852082 QUM852082 REI852082 ROE852082 RYA852082 SHW852082 SRS852082 TBO852082 TLK852082 TVG852082 UFC852082 UOY852082 UYU852082 VIQ852082 VSM852082 WCI852082 WME852082 WWA852082 S917618 JO917618 TK917618 ADG917618 ANC917618 AWY917618 BGU917618 BQQ917618 CAM917618 CKI917618 CUE917618 DEA917618 DNW917618 DXS917618 EHO917618 ERK917618 FBG917618 FLC917618 FUY917618 GEU917618 GOQ917618 GYM917618 HII917618 HSE917618 ICA917618 ILW917618 IVS917618 JFO917618 JPK917618 JZG917618 KJC917618 KSY917618 LCU917618 LMQ917618 LWM917618 MGI917618 MQE917618 NAA917618 NJW917618 NTS917618 ODO917618 ONK917618 OXG917618 PHC917618 PQY917618 QAU917618 QKQ917618 QUM917618 REI917618 ROE917618 RYA917618 SHW917618 SRS917618 TBO917618 TLK917618 TVG917618 UFC917618 UOY917618 UYU917618 VIQ917618 VSM917618 WCI917618 WME917618 WWA917618 S983154 JO983154 TK983154 ADG983154 ANC983154 AWY983154 BGU983154 BQQ983154 CAM983154 CKI983154 CUE983154 DEA983154 DNW983154 DXS983154 EHO983154 ERK983154 FBG983154 FLC983154 FUY983154 GEU983154 GOQ983154 GYM983154 HII983154 HSE983154 ICA983154 ILW983154 IVS983154 JFO983154 JPK983154 JZG983154 KJC983154 KSY983154 LCU983154 LMQ983154 LWM983154 MGI983154 MQE983154 NAA983154 NJW983154 NTS983154 ODO983154 ONK983154 OXG983154 PHC983154 PQY983154 QAU983154 QKQ983154 QUM983154 REI983154 ROE983154 RYA983154 SHW983154 SRS983154 TBO983154 TLK983154 TVG983154 UFC983154 UOY983154 UYU983154 VIQ983154 VSM983154 WCI983154 WME983154 WWA983154">
      <formula1>0</formula1>
      <formula2>0</formula2>
    </dataValidation>
    <dataValidation type="decimal" allowBlank="1" showErrorMessage="1" errorTitle="Erro de valores" error="Digite um valor maior do que 0."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609 JO65609 TK65609 ADG65609 ANC65609 AWY65609 BGU65609 BQQ65609 CAM65609 CKI65609 CUE65609 DEA65609 DNW65609 DXS65609 EHO65609 ERK65609 FBG65609 FLC65609 FUY65609 GEU65609 GOQ65609 GYM65609 HII65609 HSE65609 ICA65609 ILW65609 IVS65609 JFO65609 JPK65609 JZG65609 KJC65609 KSY65609 LCU65609 LMQ65609 LWM65609 MGI65609 MQE65609 NAA65609 NJW65609 NTS65609 ODO65609 ONK65609 OXG65609 PHC65609 PQY65609 QAU65609 QKQ65609 QUM65609 REI65609 ROE65609 RYA65609 SHW65609 SRS65609 TBO65609 TLK65609 TVG65609 UFC65609 UOY65609 UYU65609 VIQ65609 VSM65609 WCI65609 WME65609 WWA65609 S131145 JO131145 TK131145 ADG131145 ANC131145 AWY131145 BGU131145 BQQ131145 CAM131145 CKI131145 CUE131145 DEA131145 DNW131145 DXS131145 EHO131145 ERK131145 FBG131145 FLC131145 FUY131145 GEU131145 GOQ131145 GYM131145 HII131145 HSE131145 ICA131145 ILW131145 IVS131145 JFO131145 JPK131145 JZG131145 KJC131145 KSY131145 LCU131145 LMQ131145 LWM131145 MGI131145 MQE131145 NAA131145 NJW131145 NTS131145 ODO131145 ONK131145 OXG131145 PHC131145 PQY131145 QAU131145 QKQ131145 QUM131145 REI131145 ROE131145 RYA131145 SHW131145 SRS131145 TBO131145 TLK131145 TVG131145 UFC131145 UOY131145 UYU131145 VIQ131145 VSM131145 WCI131145 WME131145 WWA131145 S196681 JO196681 TK196681 ADG196681 ANC196681 AWY196681 BGU196681 BQQ196681 CAM196681 CKI196681 CUE196681 DEA196681 DNW196681 DXS196681 EHO196681 ERK196681 FBG196681 FLC196681 FUY196681 GEU196681 GOQ196681 GYM196681 HII196681 HSE196681 ICA196681 ILW196681 IVS196681 JFO196681 JPK196681 JZG196681 KJC196681 KSY196681 LCU196681 LMQ196681 LWM196681 MGI196681 MQE196681 NAA196681 NJW196681 NTS196681 ODO196681 ONK196681 OXG196681 PHC196681 PQY196681 QAU196681 QKQ196681 QUM196681 REI196681 ROE196681 RYA196681 SHW196681 SRS196681 TBO196681 TLK196681 TVG196681 UFC196681 UOY196681 UYU196681 VIQ196681 VSM196681 WCI196681 WME196681 WWA196681 S262217 JO262217 TK262217 ADG262217 ANC262217 AWY262217 BGU262217 BQQ262217 CAM262217 CKI262217 CUE262217 DEA262217 DNW262217 DXS262217 EHO262217 ERK262217 FBG262217 FLC262217 FUY262217 GEU262217 GOQ262217 GYM262217 HII262217 HSE262217 ICA262217 ILW262217 IVS262217 JFO262217 JPK262217 JZG262217 KJC262217 KSY262217 LCU262217 LMQ262217 LWM262217 MGI262217 MQE262217 NAA262217 NJW262217 NTS262217 ODO262217 ONK262217 OXG262217 PHC262217 PQY262217 QAU262217 QKQ262217 QUM262217 REI262217 ROE262217 RYA262217 SHW262217 SRS262217 TBO262217 TLK262217 TVG262217 UFC262217 UOY262217 UYU262217 VIQ262217 VSM262217 WCI262217 WME262217 WWA262217 S327753 JO327753 TK327753 ADG327753 ANC327753 AWY327753 BGU327753 BQQ327753 CAM327753 CKI327753 CUE327753 DEA327753 DNW327753 DXS327753 EHO327753 ERK327753 FBG327753 FLC327753 FUY327753 GEU327753 GOQ327753 GYM327753 HII327753 HSE327753 ICA327753 ILW327753 IVS327753 JFO327753 JPK327753 JZG327753 KJC327753 KSY327753 LCU327753 LMQ327753 LWM327753 MGI327753 MQE327753 NAA327753 NJW327753 NTS327753 ODO327753 ONK327753 OXG327753 PHC327753 PQY327753 QAU327753 QKQ327753 QUM327753 REI327753 ROE327753 RYA327753 SHW327753 SRS327753 TBO327753 TLK327753 TVG327753 UFC327753 UOY327753 UYU327753 VIQ327753 VSM327753 WCI327753 WME327753 WWA327753 S393289 JO393289 TK393289 ADG393289 ANC393289 AWY393289 BGU393289 BQQ393289 CAM393289 CKI393289 CUE393289 DEA393289 DNW393289 DXS393289 EHO393289 ERK393289 FBG393289 FLC393289 FUY393289 GEU393289 GOQ393289 GYM393289 HII393289 HSE393289 ICA393289 ILW393289 IVS393289 JFO393289 JPK393289 JZG393289 KJC393289 KSY393289 LCU393289 LMQ393289 LWM393289 MGI393289 MQE393289 NAA393289 NJW393289 NTS393289 ODO393289 ONK393289 OXG393289 PHC393289 PQY393289 QAU393289 QKQ393289 QUM393289 REI393289 ROE393289 RYA393289 SHW393289 SRS393289 TBO393289 TLK393289 TVG393289 UFC393289 UOY393289 UYU393289 VIQ393289 VSM393289 WCI393289 WME393289 WWA393289 S458825 JO458825 TK458825 ADG458825 ANC458825 AWY458825 BGU458825 BQQ458825 CAM458825 CKI458825 CUE458825 DEA458825 DNW458825 DXS458825 EHO458825 ERK458825 FBG458825 FLC458825 FUY458825 GEU458825 GOQ458825 GYM458825 HII458825 HSE458825 ICA458825 ILW458825 IVS458825 JFO458825 JPK458825 JZG458825 KJC458825 KSY458825 LCU458825 LMQ458825 LWM458825 MGI458825 MQE458825 NAA458825 NJW458825 NTS458825 ODO458825 ONK458825 OXG458825 PHC458825 PQY458825 QAU458825 QKQ458825 QUM458825 REI458825 ROE458825 RYA458825 SHW458825 SRS458825 TBO458825 TLK458825 TVG458825 UFC458825 UOY458825 UYU458825 VIQ458825 VSM458825 WCI458825 WME458825 WWA458825 S524361 JO524361 TK524361 ADG524361 ANC524361 AWY524361 BGU524361 BQQ524361 CAM524361 CKI524361 CUE524361 DEA524361 DNW524361 DXS524361 EHO524361 ERK524361 FBG524361 FLC524361 FUY524361 GEU524361 GOQ524361 GYM524361 HII524361 HSE524361 ICA524361 ILW524361 IVS524361 JFO524361 JPK524361 JZG524361 KJC524361 KSY524361 LCU524361 LMQ524361 LWM524361 MGI524361 MQE524361 NAA524361 NJW524361 NTS524361 ODO524361 ONK524361 OXG524361 PHC524361 PQY524361 QAU524361 QKQ524361 QUM524361 REI524361 ROE524361 RYA524361 SHW524361 SRS524361 TBO524361 TLK524361 TVG524361 UFC524361 UOY524361 UYU524361 VIQ524361 VSM524361 WCI524361 WME524361 WWA524361 S589897 JO589897 TK589897 ADG589897 ANC589897 AWY589897 BGU589897 BQQ589897 CAM589897 CKI589897 CUE589897 DEA589897 DNW589897 DXS589897 EHO589897 ERK589897 FBG589897 FLC589897 FUY589897 GEU589897 GOQ589897 GYM589897 HII589897 HSE589897 ICA589897 ILW589897 IVS589897 JFO589897 JPK589897 JZG589897 KJC589897 KSY589897 LCU589897 LMQ589897 LWM589897 MGI589897 MQE589897 NAA589897 NJW589897 NTS589897 ODO589897 ONK589897 OXG589897 PHC589897 PQY589897 QAU589897 QKQ589897 QUM589897 REI589897 ROE589897 RYA589897 SHW589897 SRS589897 TBO589897 TLK589897 TVG589897 UFC589897 UOY589897 UYU589897 VIQ589897 VSM589897 WCI589897 WME589897 WWA589897 S655433 JO655433 TK655433 ADG655433 ANC655433 AWY655433 BGU655433 BQQ655433 CAM655433 CKI655433 CUE655433 DEA655433 DNW655433 DXS655433 EHO655433 ERK655433 FBG655433 FLC655433 FUY655433 GEU655433 GOQ655433 GYM655433 HII655433 HSE655433 ICA655433 ILW655433 IVS655433 JFO655433 JPK655433 JZG655433 KJC655433 KSY655433 LCU655433 LMQ655433 LWM655433 MGI655433 MQE655433 NAA655433 NJW655433 NTS655433 ODO655433 ONK655433 OXG655433 PHC655433 PQY655433 QAU655433 QKQ655433 QUM655433 REI655433 ROE655433 RYA655433 SHW655433 SRS655433 TBO655433 TLK655433 TVG655433 UFC655433 UOY655433 UYU655433 VIQ655433 VSM655433 WCI655433 WME655433 WWA655433 S720969 JO720969 TK720969 ADG720969 ANC720969 AWY720969 BGU720969 BQQ720969 CAM720969 CKI720969 CUE720969 DEA720969 DNW720969 DXS720969 EHO720969 ERK720969 FBG720969 FLC720969 FUY720969 GEU720969 GOQ720969 GYM720969 HII720969 HSE720969 ICA720969 ILW720969 IVS720969 JFO720969 JPK720969 JZG720969 KJC720969 KSY720969 LCU720969 LMQ720969 LWM720969 MGI720969 MQE720969 NAA720969 NJW720969 NTS720969 ODO720969 ONK720969 OXG720969 PHC720969 PQY720969 QAU720969 QKQ720969 QUM720969 REI720969 ROE720969 RYA720969 SHW720969 SRS720969 TBO720969 TLK720969 TVG720969 UFC720969 UOY720969 UYU720969 VIQ720969 VSM720969 WCI720969 WME720969 WWA720969 S786505 JO786505 TK786505 ADG786505 ANC786505 AWY786505 BGU786505 BQQ786505 CAM786505 CKI786505 CUE786505 DEA786505 DNW786505 DXS786505 EHO786505 ERK786505 FBG786505 FLC786505 FUY786505 GEU786505 GOQ786505 GYM786505 HII786505 HSE786505 ICA786505 ILW786505 IVS786505 JFO786505 JPK786505 JZG786505 KJC786505 KSY786505 LCU786505 LMQ786505 LWM786505 MGI786505 MQE786505 NAA786505 NJW786505 NTS786505 ODO786505 ONK786505 OXG786505 PHC786505 PQY786505 QAU786505 QKQ786505 QUM786505 REI786505 ROE786505 RYA786505 SHW786505 SRS786505 TBO786505 TLK786505 TVG786505 UFC786505 UOY786505 UYU786505 VIQ786505 VSM786505 WCI786505 WME786505 WWA786505 S852041 JO852041 TK852041 ADG852041 ANC852041 AWY852041 BGU852041 BQQ852041 CAM852041 CKI852041 CUE852041 DEA852041 DNW852041 DXS852041 EHO852041 ERK852041 FBG852041 FLC852041 FUY852041 GEU852041 GOQ852041 GYM852041 HII852041 HSE852041 ICA852041 ILW852041 IVS852041 JFO852041 JPK852041 JZG852041 KJC852041 KSY852041 LCU852041 LMQ852041 LWM852041 MGI852041 MQE852041 NAA852041 NJW852041 NTS852041 ODO852041 ONK852041 OXG852041 PHC852041 PQY852041 QAU852041 QKQ852041 QUM852041 REI852041 ROE852041 RYA852041 SHW852041 SRS852041 TBO852041 TLK852041 TVG852041 UFC852041 UOY852041 UYU852041 VIQ852041 VSM852041 WCI852041 WME852041 WWA852041 S917577 JO917577 TK917577 ADG917577 ANC917577 AWY917577 BGU917577 BQQ917577 CAM917577 CKI917577 CUE917577 DEA917577 DNW917577 DXS917577 EHO917577 ERK917577 FBG917577 FLC917577 FUY917577 GEU917577 GOQ917577 GYM917577 HII917577 HSE917577 ICA917577 ILW917577 IVS917577 JFO917577 JPK917577 JZG917577 KJC917577 KSY917577 LCU917577 LMQ917577 LWM917577 MGI917577 MQE917577 NAA917577 NJW917577 NTS917577 ODO917577 ONK917577 OXG917577 PHC917577 PQY917577 QAU917577 QKQ917577 QUM917577 REI917577 ROE917577 RYA917577 SHW917577 SRS917577 TBO917577 TLK917577 TVG917577 UFC917577 UOY917577 UYU917577 VIQ917577 VSM917577 WCI917577 WME917577 WWA917577 S983113 JO983113 TK983113 ADG983113 ANC983113 AWY983113 BGU983113 BQQ983113 CAM983113 CKI983113 CUE983113 DEA983113 DNW983113 DXS983113 EHO983113 ERK983113 FBG983113 FLC983113 FUY983113 GEU983113 GOQ983113 GYM983113 HII983113 HSE983113 ICA983113 ILW983113 IVS983113 JFO983113 JPK983113 JZG983113 KJC983113 KSY983113 LCU983113 LMQ983113 LWM983113 MGI983113 MQE983113 NAA983113 NJW983113 NTS983113 ODO983113 ONK983113 OXG983113 PHC983113 PQY983113 QAU983113 QKQ983113 QUM983113 REI983113 ROE983113 RYA983113 SHW983113 SRS983113 TBO983113 TLK983113 TVG983113 UFC983113 UOY983113 UYU983113 VIQ983113 VSM983113 WCI983113 WME983113 WWA983113 S113 JO113 TK113 ADG113 ANC113 AWY113 BGU113 BQQ113 CAM113 CKI113 CUE113 DEA113 DNW113 DXS113 EHO113 ERK113 FBG113 FLC113 FUY113 GEU113 GOQ113 GYM113 HII113 HSE113 ICA113 ILW113 IVS113 JFO113 JPK113 JZG113 KJC113 KSY113 LCU113 LMQ113 LWM113 MGI113 MQE113 NAA113 NJW113 NTS113 ODO113 ONK113 OXG113 PHC113 PQY113 QAU113 QKQ113 QUM113 REI113 ROE113 RYA113 SHW113 SRS113 TBO113 TLK113 TVG113 UFC113 UOY113 UYU113 VIQ113 VSM113 WCI113 WME113 WWA113 S65649 JO65649 TK65649 ADG65649 ANC65649 AWY65649 BGU65649 BQQ65649 CAM65649 CKI65649 CUE65649 DEA65649 DNW65649 DXS65649 EHO65649 ERK65649 FBG65649 FLC65649 FUY65649 GEU65649 GOQ65649 GYM65649 HII65649 HSE65649 ICA65649 ILW65649 IVS65649 JFO65649 JPK65649 JZG65649 KJC65649 KSY65649 LCU65649 LMQ65649 LWM65649 MGI65649 MQE65649 NAA65649 NJW65649 NTS65649 ODO65649 ONK65649 OXG65649 PHC65649 PQY65649 QAU65649 QKQ65649 QUM65649 REI65649 ROE65649 RYA65649 SHW65649 SRS65649 TBO65649 TLK65649 TVG65649 UFC65649 UOY65649 UYU65649 VIQ65649 VSM65649 WCI65649 WME65649 WWA65649 S131185 JO131185 TK131185 ADG131185 ANC131185 AWY131185 BGU131185 BQQ131185 CAM131185 CKI131185 CUE131185 DEA131185 DNW131185 DXS131185 EHO131185 ERK131185 FBG131185 FLC131185 FUY131185 GEU131185 GOQ131185 GYM131185 HII131185 HSE131185 ICA131185 ILW131185 IVS131185 JFO131185 JPK131185 JZG131185 KJC131185 KSY131185 LCU131185 LMQ131185 LWM131185 MGI131185 MQE131185 NAA131185 NJW131185 NTS131185 ODO131185 ONK131185 OXG131185 PHC131185 PQY131185 QAU131185 QKQ131185 QUM131185 REI131185 ROE131185 RYA131185 SHW131185 SRS131185 TBO131185 TLK131185 TVG131185 UFC131185 UOY131185 UYU131185 VIQ131185 VSM131185 WCI131185 WME131185 WWA131185 S196721 JO196721 TK196721 ADG196721 ANC196721 AWY196721 BGU196721 BQQ196721 CAM196721 CKI196721 CUE196721 DEA196721 DNW196721 DXS196721 EHO196721 ERK196721 FBG196721 FLC196721 FUY196721 GEU196721 GOQ196721 GYM196721 HII196721 HSE196721 ICA196721 ILW196721 IVS196721 JFO196721 JPK196721 JZG196721 KJC196721 KSY196721 LCU196721 LMQ196721 LWM196721 MGI196721 MQE196721 NAA196721 NJW196721 NTS196721 ODO196721 ONK196721 OXG196721 PHC196721 PQY196721 QAU196721 QKQ196721 QUM196721 REI196721 ROE196721 RYA196721 SHW196721 SRS196721 TBO196721 TLK196721 TVG196721 UFC196721 UOY196721 UYU196721 VIQ196721 VSM196721 WCI196721 WME196721 WWA196721 S262257 JO262257 TK262257 ADG262257 ANC262257 AWY262257 BGU262257 BQQ262257 CAM262257 CKI262257 CUE262257 DEA262257 DNW262257 DXS262257 EHO262257 ERK262257 FBG262257 FLC262257 FUY262257 GEU262257 GOQ262257 GYM262257 HII262257 HSE262257 ICA262257 ILW262257 IVS262257 JFO262257 JPK262257 JZG262257 KJC262257 KSY262257 LCU262257 LMQ262257 LWM262257 MGI262257 MQE262257 NAA262257 NJW262257 NTS262257 ODO262257 ONK262257 OXG262257 PHC262257 PQY262257 QAU262257 QKQ262257 QUM262257 REI262257 ROE262257 RYA262257 SHW262257 SRS262257 TBO262257 TLK262257 TVG262257 UFC262257 UOY262257 UYU262257 VIQ262257 VSM262257 WCI262257 WME262257 WWA262257 S327793 JO327793 TK327793 ADG327793 ANC327793 AWY327793 BGU327793 BQQ327793 CAM327793 CKI327793 CUE327793 DEA327793 DNW327793 DXS327793 EHO327793 ERK327793 FBG327793 FLC327793 FUY327793 GEU327793 GOQ327793 GYM327793 HII327793 HSE327793 ICA327793 ILW327793 IVS327793 JFO327793 JPK327793 JZG327793 KJC327793 KSY327793 LCU327793 LMQ327793 LWM327793 MGI327793 MQE327793 NAA327793 NJW327793 NTS327793 ODO327793 ONK327793 OXG327793 PHC327793 PQY327793 QAU327793 QKQ327793 QUM327793 REI327793 ROE327793 RYA327793 SHW327793 SRS327793 TBO327793 TLK327793 TVG327793 UFC327793 UOY327793 UYU327793 VIQ327793 VSM327793 WCI327793 WME327793 WWA327793 S393329 JO393329 TK393329 ADG393329 ANC393329 AWY393329 BGU393329 BQQ393329 CAM393329 CKI393329 CUE393329 DEA393329 DNW393329 DXS393329 EHO393329 ERK393329 FBG393329 FLC393329 FUY393329 GEU393329 GOQ393329 GYM393329 HII393329 HSE393329 ICA393329 ILW393329 IVS393329 JFO393329 JPK393329 JZG393329 KJC393329 KSY393329 LCU393329 LMQ393329 LWM393329 MGI393329 MQE393329 NAA393329 NJW393329 NTS393329 ODO393329 ONK393329 OXG393329 PHC393329 PQY393329 QAU393329 QKQ393329 QUM393329 REI393329 ROE393329 RYA393329 SHW393329 SRS393329 TBO393329 TLK393329 TVG393329 UFC393329 UOY393329 UYU393329 VIQ393329 VSM393329 WCI393329 WME393329 WWA393329 S458865 JO458865 TK458865 ADG458865 ANC458865 AWY458865 BGU458865 BQQ458865 CAM458865 CKI458865 CUE458865 DEA458865 DNW458865 DXS458865 EHO458865 ERK458865 FBG458865 FLC458865 FUY458865 GEU458865 GOQ458865 GYM458865 HII458865 HSE458865 ICA458865 ILW458865 IVS458865 JFO458865 JPK458865 JZG458865 KJC458865 KSY458865 LCU458865 LMQ458865 LWM458865 MGI458865 MQE458865 NAA458865 NJW458865 NTS458865 ODO458865 ONK458865 OXG458865 PHC458865 PQY458865 QAU458865 QKQ458865 QUM458865 REI458865 ROE458865 RYA458865 SHW458865 SRS458865 TBO458865 TLK458865 TVG458865 UFC458865 UOY458865 UYU458865 VIQ458865 VSM458865 WCI458865 WME458865 WWA458865 S524401 JO524401 TK524401 ADG524401 ANC524401 AWY524401 BGU524401 BQQ524401 CAM524401 CKI524401 CUE524401 DEA524401 DNW524401 DXS524401 EHO524401 ERK524401 FBG524401 FLC524401 FUY524401 GEU524401 GOQ524401 GYM524401 HII524401 HSE524401 ICA524401 ILW524401 IVS524401 JFO524401 JPK524401 JZG524401 KJC524401 KSY524401 LCU524401 LMQ524401 LWM524401 MGI524401 MQE524401 NAA524401 NJW524401 NTS524401 ODO524401 ONK524401 OXG524401 PHC524401 PQY524401 QAU524401 QKQ524401 QUM524401 REI524401 ROE524401 RYA524401 SHW524401 SRS524401 TBO524401 TLK524401 TVG524401 UFC524401 UOY524401 UYU524401 VIQ524401 VSM524401 WCI524401 WME524401 WWA524401 S589937 JO589937 TK589937 ADG589937 ANC589937 AWY589937 BGU589937 BQQ589937 CAM589937 CKI589937 CUE589937 DEA589937 DNW589937 DXS589937 EHO589937 ERK589937 FBG589937 FLC589937 FUY589937 GEU589937 GOQ589937 GYM589937 HII589937 HSE589937 ICA589937 ILW589937 IVS589937 JFO589937 JPK589937 JZG589937 KJC589937 KSY589937 LCU589937 LMQ589937 LWM589937 MGI589937 MQE589937 NAA589937 NJW589937 NTS589937 ODO589937 ONK589937 OXG589937 PHC589937 PQY589937 QAU589937 QKQ589937 QUM589937 REI589937 ROE589937 RYA589937 SHW589937 SRS589937 TBO589937 TLK589937 TVG589937 UFC589937 UOY589937 UYU589937 VIQ589937 VSM589937 WCI589937 WME589937 WWA589937 S655473 JO655473 TK655473 ADG655473 ANC655473 AWY655473 BGU655473 BQQ655473 CAM655473 CKI655473 CUE655473 DEA655473 DNW655473 DXS655473 EHO655473 ERK655473 FBG655473 FLC655473 FUY655473 GEU655473 GOQ655473 GYM655473 HII655473 HSE655473 ICA655473 ILW655473 IVS655473 JFO655473 JPK655473 JZG655473 KJC655473 KSY655473 LCU655473 LMQ655473 LWM655473 MGI655473 MQE655473 NAA655473 NJW655473 NTS655473 ODO655473 ONK655473 OXG655473 PHC655473 PQY655473 QAU655473 QKQ655473 QUM655473 REI655473 ROE655473 RYA655473 SHW655473 SRS655473 TBO655473 TLK655473 TVG655473 UFC655473 UOY655473 UYU655473 VIQ655473 VSM655473 WCI655473 WME655473 WWA655473 S721009 JO721009 TK721009 ADG721009 ANC721009 AWY721009 BGU721009 BQQ721009 CAM721009 CKI721009 CUE721009 DEA721009 DNW721009 DXS721009 EHO721009 ERK721009 FBG721009 FLC721009 FUY721009 GEU721009 GOQ721009 GYM721009 HII721009 HSE721009 ICA721009 ILW721009 IVS721009 JFO721009 JPK721009 JZG721009 KJC721009 KSY721009 LCU721009 LMQ721009 LWM721009 MGI721009 MQE721009 NAA721009 NJW721009 NTS721009 ODO721009 ONK721009 OXG721009 PHC721009 PQY721009 QAU721009 QKQ721009 QUM721009 REI721009 ROE721009 RYA721009 SHW721009 SRS721009 TBO721009 TLK721009 TVG721009 UFC721009 UOY721009 UYU721009 VIQ721009 VSM721009 WCI721009 WME721009 WWA721009 S786545 JO786545 TK786545 ADG786545 ANC786545 AWY786545 BGU786545 BQQ786545 CAM786545 CKI786545 CUE786545 DEA786545 DNW786545 DXS786545 EHO786545 ERK786545 FBG786545 FLC786545 FUY786545 GEU786545 GOQ786545 GYM786545 HII786545 HSE786545 ICA786545 ILW786545 IVS786545 JFO786545 JPK786545 JZG786545 KJC786545 KSY786545 LCU786545 LMQ786545 LWM786545 MGI786545 MQE786545 NAA786545 NJW786545 NTS786545 ODO786545 ONK786545 OXG786545 PHC786545 PQY786545 QAU786545 QKQ786545 QUM786545 REI786545 ROE786545 RYA786545 SHW786545 SRS786545 TBO786545 TLK786545 TVG786545 UFC786545 UOY786545 UYU786545 VIQ786545 VSM786545 WCI786545 WME786545 WWA786545 S852081 JO852081 TK852081 ADG852081 ANC852081 AWY852081 BGU852081 BQQ852081 CAM852081 CKI852081 CUE852081 DEA852081 DNW852081 DXS852081 EHO852081 ERK852081 FBG852081 FLC852081 FUY852081 GEU852081 GOQ852081 GYM852081 HII852081 HSE852081 ICA852081 ILW852081 IVS852081 JFO852081 JPK852081 JZG852081 KJC852081 KSY852081 LCU852081 LMQ852081 LWM852081 MGI852081 MQE852081 NAA852081 NJW852081 NTS852081 ODO852081 ONK852081 OXG852081 PHC852081 PQY852081 QAU852081 QKQ852081 QUM852081 REI852081 ROE852081 RYA852081 SHW852081 SRS852081 TBO852081 TLK852081 TVG852081 UFC852081 UOY852081 UYU852081 VIQ852081 VSM852081 WCI852081 WME852081 WWA852081 S917617 JO917617 TK917617 ADG917617 ANC917617 AWY917617 BGU917617 BQQ917617 CAM917617 CKI917617 CUE917617 DEA917617 DNW917617 DXS917617 EHO917617 ERK917617 FBG917617 FLC917617 FUY917617 GEU917617 GOQ917617 GYM917617 HII917617 HSE917617 ICA917617 ILW917617 IVS917617 JFO917617 JPK917617 JZG917617 KJC917617 KSY917617 LCU917617 LMQ917617 LWM917617 MGI917617 MQE917617 NAA917617 NJW917617 NTS917617 ODO917617 ONK917617 OXG917617 PHC917617 PQY917617 QAU917617 QKQ917617 QUM917617 REI917617 ROE917617 RYA917617 SHW917617 SRS917617 TBO917617 TLK917617 TVG917617 UFC917617 UOY917617 UYU917617 VIQ917617 VSM917617 WCI917617 WME917617 WWA917617 S983153 JO983153 TK983153 ADG983153 ANC983153 AWY983153 BGU983153 BQQ983153 CAM983153 CKI983153 CUE983153 DEA983153 DNW983153 DXS983153 EHO983153 ERK983153 FBG983153 FLC983153 FUY983153 GEU983153 GOQ983153 GYM983153 HII983153 HSE983153 ICA983153 ILW983153 IVS983153 JFO983153 JPK983153 JZG983153 KJC983153 KSY983153 LCU983153 LMQ983153 LWM983153 MGI983153 MQE983153 NAA983153 NJW983153 NTS983153 ODO983153 ONK983153 OXG983153 PHC983153 PQY983153 QAU983153 QKQ983153 QUM983153 REI983153 ROE983153 RYA983153 SHW983153 SRS983153 TBO983153 TLK983153 TVG983153 UFC983153 UOY983153 UYU983153 VIQ983153 VSM983153 WCI983153 WME983153 WWA983153">
      <formula1>0</formula1>
      <formula2>1</formula2>
    </dataValidation>
    <dataValidation type="decimal" allowBlank="1" showErrorMessage="1" errorTitle="Erro de valores" error="Digite um valor entre 0% e 100%" sqref="S27:S32 JO27:JO32 TK27:TK32 ADG27:ADG32 ANC27:ANC32 AWY27:AWY32 BGU27:BGU32 BQQ27:BQQ32 CAM27:CAM32 CKI27:CKI32 CUE27:CUE32 DEA27:DEA32 DNW27:DNW32 DXS27:DXS32 EHO27:EHO32 ERK27:ERK32 FBG27:FBG32 FLC27:FLC32 FUY27:FUY32 GEU27:GEU32 GOQ27:GOQ32 GYM27:GYM32 HII27:HII32 HSE27:HSE32 ICA27:ICA32 ILW27:ILW32 IVS27:IVS32 JFO27:JFO32 JPK27:JPK32 JZG27:JZG32 KJC27:KJC32 KSY27:KSY32 LCU27:LCU32 LMQ27:LMQ32 LWM27:LWM32 MGI27:MGI32 MQE27:MQE32 NAA27:NAA32 NJW27:NJW32 NTS27:NTS32 ODO27:ODO32 ONK27:ONK32 OXG27:OXG32 PHC27:PHC32 PQY27:PQY32 QAU27:QAU32 QKQ27:QKQ32 QUM27:QUM32 REI27:REI32 ROE27:ROE32 RYA27:RYA32 SHW27:SHW32 SRS27:SRS32 TBO27:TBO32 TLK27:TLK32 TVG27:TVG32 UFC27:UFC32 UOY27:UOY32 UYU27:UYU32 VIQ27:VIQ32 VSM27:VSM32 WCI27:WCI32 WME27:WME32 WWA27:WWA32 S65563:S65568 JO65563:JO65568 TK65563:TK65568 ADG65563:ADG65568 ANC65563:ANC65568 AWY65563:AWY65568 BGU65563:BGU65568 BQQ65563:BQQ65568 CAM65563:CAM65568 CKI65563:CKI65568 CUE65563:CUE65568 DEA65563:DEA65568 DNW65563:DNW65568 DXS65563:DXS65568 EHO65563:EHO65568 ERK65563:ERK65568 FBG65563:FBG65568 FLC65563:FLC65568 FUY65563:FUY65568 GEU65563:GEU65568 GOQ65563:GOQ65568 GYM65563:GYM65568 HII65563:HII65568 HSE65563:HSE65568 ICA65563:ICA65568 ILW65563:ILW65568 IVS65563:IVS65568 JFO65563:JFO65568 JPK65563:JPK65568 JZG65563:JZG65568 KJC65563:KJC65568 KSY65563:KSY65568 LCU65563:LCU65568 LMQ65563:LMQ65568 LWM65563:LWM65568 MGI65563:MGI65568 MQE65563:MQE65568 NAA65563:NAA65568 NJW65563:NJW65568 NTS65563:NTS65568 ODO65563:ODO65568 ONK65563:ONK65568 OXG65563:OXG65568 PHC65563:PHC65568 PQY65563:PQY65568 QAU65563:QAU65568 QKQ65563:QKQ65568 QUM65563:QUM65568 REI65563:REI65568 ROE65563:ROE65568 RYA65563:RYA65568 SHW65563:SHW65568 SRS65563:SRS65568 TBO65563:TBO65568 TLK65563:TLK65568 TVG65563:TVG65568 UFC65563:UFC65568 UOY65563:UOY65568 UYU65563:UYU65568 VIQ65563:VIQ65568 VSM65563:VSM65568 WCI65563:WCI65568 WME65563:WME65568 WWA65563:WWA65568 S131099:S131104 JO131099:JO131104 TK131099:TK131104 ADG131099:ADG131104 ANC131099:ANC131104 AWY131099:AWY131104 BGU131099:BGU131104 BQQ131099:BQQ131104 CAM131099:CAM131104 CKI131099:CKI131104 CUE131099:CUE131104 DEA131099:DEA131104 DNW131099:DNW131104 DXS131099:DXS131104 EHO131099:EHO131104 ERK131099:ERK131104 FBG131099:FBG131104 FLC131099:FLC131104 FUY131099:FUY131104 GEU131099:GEU131104 GOQ131099:GOQ131104 GYM131099:GYM131104 HII131099:HII131104 HSE131099:HSE131104 ICA131099:ICA131104 ILW131099:ILW131104 IVS131099:IVS131104 JFO131099:JFO131104 JPK131099:JPK131104 JZG131099:JZG131104 KJC131099:KJC131104 KSY131099:KSY131104 LCU131099:LCU131104 LMQ131099:LMQ131104 LWM131099:LWM131104 MGI131099:MGI131104 MQE131099:MQE131104 NAA131099:NAA131104 NJW131099:NJW131104 NTS131099:NTS131104 ODO131099:ODO131104 ONK131099:ONK131104 OXG131099:OXG131104 PHC131099:PHC131104 PQY131099:PQY131104 QAU131099:QAU131104 QKQ131099:QKQ131104 QUM131099:QUM131104 REI131099:REI131104 ROE131099:ROE131104 RYA131099:RYA131104 SHW131099:SHW131104 SRS131099:SRS131104 TBO131099:TBO131104 TLK131099:TLK131104 TVG131099:TVG131104 UFC131099:UFC131104 UOY131099:UOY131104 UYU131099:UYU131104 VIQ131099:VIQ131104 VSM131099:VSM131104 WCI131099:WCI131104 WME131099:WME131104 WWA131099:WWA131104 S196635:S196640 JO196635:JO196640 TK196635:TK196640 ADG196635:ADG196640 ANC196635:ANC196640 AWY196635:AWY196640 BGU196635:BGU196640 BQQ196635:BQQ196640 CAM196635:CAM196640 CKI196635:CKI196640 CUE196635:CUE196640 DEA196635:DEA196640 DNW196635:DNW196640 DXS196635:DXS196640 EHO196635:EHO196640 ERK196635:ERK196640 FBG196635:FBG196640 FLC196635:FLC196640 FUY196635:FUY196640 GEU196635:GEU196640 GOQ196635:GOQ196640 GYM196635:GYM196640 HII196635:HII196640 HSE196635:HSE196640 ICA196635:ICA196640 ILW196635:ILW196640 IVS196635:IVS196640 JFO196635:JFO196640 JPK196635:JPK196640 JZG196635:JZG196640 KJC196635:KJC196640 KSY196635:KSY196640 LCU196635:LCU196640 LMQ196635:LMQ196640 LWM196635:LWM196640 MGI196635:MGI196640 MQE196635:MQE196640 NAA196635:NAA196640 NJW196635:NJW196640 NTS196635:NTS196640 ODO196635:ODO196640 ONK196635:ONK196640 OXG196635:OXG196640 PHC196635:PHC196640 PQY196635:PQY196640 QAU196635:QAU196640 QKQ196635:QKQ196640 QUM196635:QUM196640 REI196635:REI196640 ROE196635:ROE196640 RYA196635:RYA196640 SHW196635:SHW196640 SRS196635:SRS196640 TBO196635:TBO196640 TLK196635:TLK196640 TVG196635:TVG196640 UFC196635:UFC196640 UOY196635:UOY196640 UYU196635:UYU196640 VIQ196635:VIQ196640 VSM196635:VSM196640 WCI196635:WCI196640 WME196635:WME196640 WWA196635:WWA196640 S262171:S262176 JO262171:JO262176 TK262171:TK262176 ADG262171:ADG262176 ANC262171:ANC262176 AWY262171:AWY262176 BGU262171:BGU262176 BQQ262171:BQQ262176 CAM262171:CAM262176 CKI262171:CKI262176 CUE262171:CUE262176 DEA262171:DEA262176 DNW262171:DNW262176 DXS262171:DXS262176 EHO262171:EHO262176 ERK262171:ERK262176 FBG262171:FBG262176 FLC262171:FLC262176 FUY262171:FUY262176 GEU262171:GEU262176 GOQ262171:GOQ262176 GYM262171:GYM262176 HII262171:HII262176 HSE262171:HSE262176 ICA262171:ICA262176 ILW262171:ILW262176 IVS262171:IVS262176 JFO262171:JFO262176 JPK262171:JPK262176 JZG262171:JZG262176 KJC262171:KJC262176 KSY262171:KSY262176 LCU262171:LCU262176 LMQ262171:LMQ262176 LWM262171:LWM262176 MGI262171:MGI262176 MQE262171:MQE262176 NAA262171:NAA262176 NJW262171:NJW262176 NTS262171:NTS262176 ODO262171:ODO262176 ONK262171:ONK262176 OXG262171:OXG262176 PHC262171:PHC262176 PQY262171:PQY262176 QAU262171:QAU262176 QKQ262171:QKQ262176 QUM262171:QUM262176 REI262171:REI262176 ROE262171:ROE262176 RYA262171:RYA262176 SHW262171:SHW262176 SRS262171:SRS262176 TBO262171:TBO262176 TLK262171:TLK262176 TVG262171:TVG262176 UFC262171:UFC262176 UOY262171:UOY262176 UYU262171:UYU262176 VIQ262171:VIQ262176 VSM262171:VSM262176 WCI262171:WCI262176 WME262171:WME262176 WWA262171:WWA262176 S327707:S327712 JO327707:JO327712 TK327707:TK327712 ADG327707:ADG327712 ANC327707:ANC327712 AWY327707:AWY327712 BGU327707:BGU327712 BQQ327707:BQQ327712 CAM327707:CAM327712 CKI327707:CKI327712 CUE327707:CUE327712 DEA327707:DEA327712 DNW327707:DNW327712 DXS327707:DXS327712 EHO327707:EHO327712 ERK327707:ERK327712 FBG327707:FBG327712 FLC327707:FLC327712 FUY327707:FUY327712 GEU327707:GEU327712 GOQ327707:GOQ327712 GYM327707:GYM327712 HII327707:HII327712 HSE327707:HSE327712 ICA327707:ICA327712 ILW327707:ILW327712 IVS327707:IVS327712 JFO327707:JFO327712 JPK327707:JPK327712 JZG327707:JZG327712 KJC327707:KJC327712 KSY327707:KSY327712 LCU327707:LCU327712 LMQ327707:LMQ327712 LWM327707:LWM327712 MGI327707:MGI327712 MQE327707:MQE327712 NAA327707:NAA327712 NJW327707:NJW327712 NTS327707:NTS327712 ODO327707:ODO327712 ONK327707:ONK327712 OXG327707:OXG327712 PHC327707:PHC327712 PQY327707:PQY327712 QAU327707:QAU327712 QKQ327707:QKQ327712 QUM327707:QUM327712 REI327707:REI327712 ROE327707:ROE327712 RYA327707:RYA327712 SHW327707:SHW327712 SRS327707:SRS327712 TBO327707:TBO327712 TLK327707:TLK327712 TVG327707:TVG327712 UFC327707:UFC327712 UOY327707:UOY327712 UYU327707:UYU327712 VIQ327707:VIQ327712 VSM327707:VSM327712 WCI327707:WCI327712 WME327707:WME327712 WWA327707:WWA327712 S393243:S393248 JO393243:JO393248 TK393243:TK393248 ADG393243:ADG393248 ANC393243:ANC393248 AWY393243:AWY393248 BGU393243:BGU393248 BQQ393243:BQQ393248 CAM393243:CAM393248 CKI393243:CKI393248 CUE393243:CUE393248 DEA393243:DEA393248 DNW393243:DNW393248 DXS393243:DXS393248 EHO393243:EHO393248 ERK393243:ERK393248 FBG393243:FBG393248 FLC393243:FLC393248 FUY393243:FUY393248 GEU393243:GEU393248 GOQ393243:GOQ393248 GYM393243:GYM393248 HII393243:HII393248 HSE393243:HSE393248 ICA393243:ICA393248 ILW393243:ILW393248 IVS393243:IVS393248 JFO393243:JFO393248 JPK393243:JPK393248 JZG393243:JZG393248 KJC393243:KJC393248 KSY393243:KSY393248 LCU393243:LCU393248 LMQ393243:LMQ393248 LWM393243:LWM393248 MGI393243:MGI393248 MQE393243:MQE393248 NAA393243:NAA393248 NJW393243:NJW393248 NTS393243:NTS393248 ODO393243:ODO393248 ONK393243:ONK393248 OXG393243:OXG393248 PHC393243:PHC393248 PQY393243:PQY393248 QAU393243:QAU393248 QKQ393243:QKQ393248 QUM393243:QUM393248 REI393243:REI393248 ROE393243:ROE393248 RYA393243:RYA393248 SHW393243:SHW393248 SRS393243:SRS393248 TBO393243:TBO393248 TLK393243:TLK393248 TVG393243:TVG393248 UFC393243:UFC393248 UOY393243:UOY393248 UYU393243:UYU393248 VIQ393243:VIQ393248 VSM393243:VSM393248 WCI393243:WCI393248 WME393243:WME393248 WWA393243:WWA393248 S458779:S458784 JO458779:JO458784 TK458779:TK458784 ADG458779:ADG458784 ANC458779:ANC458784 AWY458779:AWY458784 BGU458779:BGU458784 BQQ458779:BQQ458784 CAM458779:CAM458784 CKI458779:CKI458784 CUE458779:CUE458784 DEA458779:DEA458784 DNW458779:DNW458784 DXS458779:DXS458784 EHO458779:EHO458784 ERK458779:ERK458784 FBG458779:FBG458784 FLC458779:FLC458784 FUY458779:FUY458784 GEU458779:GEU458784 GOQ458779:GOQ458784 GYM458779:GYM458784 HII458779:HII458784 HSE458779:HSE458784 ICA458779:ICA458784 ILW458779:ILW458784 IVS458779:IVS458784 JFO458779:JFO458784 JPK458779:JPK458784 JZG458779:JZG458784 KJC458779:KJC458784 KSY458779:KSY458784 LCU458779:LCU458784 LMQ458779:LMQ458784 LWM458779:LWM458784 MGI458779:MGI458784 MQE458779:MQE458784 NAA458779:NAA458784 NJW458779:NJW458784 NTS458779:NTS458784 ODO458779:ODO458784 ONK458779:ONK458784 OXG458779:OXG458784 PHC458779:PHC458784 PQY458779:PQY458784 QAU458779:QAU458784 QKQ458779:QKQ458784 QUM458779:QUM458784 REI458779:REI458784 ROE458779:ROE458784 RYA458779:RYA458784 SHW458779:SHW458784 SRS458779:SRS458784 TBO458779:TBO458784 TLK458779:TLK458784 TVG458779:TVG458784 UFC458779:UFC458784 UOY458779:UOY458784 UYU458779:UYU458784 VIQ458779:VIQ458784 VSM458779:VSM458784 WCI458779:WCI458784 WME458779:WME458784 WWA458779:WWA458784 S524315:S524320 JO524315:JO524320 TK524315:TK524320 ADG524315:ADG524320 ANC524315:ANC524320 AWY524315:AWY524320 BGU524315:BGU524320 BQQ524315:BQQ524320 CAM524315:CAM524320 CKI524315:CKI524320 CUE524315:CUE524320 DEA524315:DEA524320 DNW524315:DNW524320 DXS524315:DXS524320 EHO524315:EHO524320 ERK524315:ERK524320 FBG524315:FBG524320 FLC524315:FLC524320 FUY524315:FUY524320 GEU524315:GEU524320 GOQ524315:GOQ524320 GYM524315:GYM524320 HII524315:HII524320 HSE524315:HSE524320 ICA524315:ICA524320 ILW524315:ILW524320 IVS524315:IVS524320 JFO524315:JFO524320 JPK524315:JPK524320 JZG524315:JZG524320 KJC524315:KJC524320 KSY524315:KSY524320 LCU524315:LCU524320 LMQ524315:LMQ524320 LWM524315:LWM524320 MGI524315:MGI524320 MQE524315:MQE524320 NAA524315:NAA524320 NJW524315:NJW524320 NTS524315:NTS524320 ODO524315:ODO524320 ONK524315:ONK524320 OXG524315:OXG524320 PHC524315:PHC524320 PQY524315:PQY524320 QAU524315:QAU524320 QKQ524315:QKQ524320 QUM524315:QUM524320 REI524315:REI524320 ROE524315:ROE524320 RYA524315:RYA524320 SHW524315:SHW524320 SRS524315:SRS524320 TBO524315:TBO524320 TLK524315:TLK524320 TVG524315:TVG524320 UFC524315:UFC524320 UOY524315:UOY524320 UYU524315:UYU524320 VIQ524315:VIQ524320 VSM524315:VSM524320 WCI524315:WCI524320 WME524315:WME524320 WWA524315:WWA524320 S589851:S589856 JO589851:JO589856 TK589851:TK589856 ADG589851:ADG589856 ANC589851:ANC589856 AWY589851:AWY589856 BGU589851:BGU589856 BQQ589851:BQQ589856 CAM589851:CAM589856 CKI589851:CKI589856 CUE589851:CUE589856 DEA589851:DEA589856 DNW589851:DNW589856 DXS589851:DXS589856 EHO589851:EHO589856 ERK589851:ERK589856 FBG589851:FBG589856 FLC589851:FLC589856 FUY589851:FUY589856 GEU589851:GEU589856 GOQ589851:GOQ589856 GYM589851:GYM589856 HII589851:HII589856 HSE589851:HSE589856 ICA589851:ICA589856 ILW589851:ILW589856 IVS589851:IVS589856 JFO589851:JFO589856 JPK589851:JPK589856 JZG589851:JZG589856 KJC589851:KJC589856 KSY589851:KSY589856 LCU589851:LCU589856 LMQ589851:LMQ589856 LWM589851:LWM589856 MGI589851:MGI589856 MQE589851:MQE589856 NAA589851:NAA589856 NJW589851:NJW589856 NTS589851:NTS589856 ODO589851:ODO589856 ONK589851:ONK589856 OXG589851:OXG589856 PHC589851:PHC589856 PQY589851:PQY589856 QAU589851:QAU589856 QKQ589851:QKQ589856 QUM589851:QUM589856 REI589851:REI589856 ROE589851:ROE589856 RYA589851:RYA589856 SHW589851:SHW589856 SRS589851:SRS589856 TBO589851:TBO589856 TLK589851:TLK589856 TVG589851:TVG589856 UFC589851:UFC589856 UOY589851:UOY589856 UYU589851:UYU589856 VIQ589851:VIQ589856 VSM589851:VSM589856 WCI589851:WCI589856 WME589851:WME589856 WWA589851:WWA589856 S655387:S655392 JO655387:JO655392 TK655387:TK655392 ADG655387:ADG655392 ANC655387:ANC655392 AWY655387:AWY655392 BGU655387:BGU655392 BQQ655387:BQQ655392 CAM655387:CAM655392 CKI655387:CKI655392 CUE655387:CUE655392 DEA655387:DEA655392 DNW655387:DNW655392 DXS655387:DXS655392 EHO655387:EHO655392 ERK655387:ERK655392 FBG655387:FBG655392 FLC655387:FLC655392 FUY655387:FUY655392 GEU655387:GEU655392 GOQ655387:GOQ655392 GYM655387:GYM655392 HII655387:HII655392 HSE655387:HSE655392 ICA655387:ICA655392 ILW655387:ILW655392 IVS655387:IVS655392 JFO655387:JFO655392 JPK655387:JPK655392 JZG655387:JZG655392 KJC655387:KJC655392 KSY655387:KSY655392 LCU655387:LCU655392 LMQ655387:LMQ655392 LWM655387:LWM655392 MGI655387:MGI655392 MQE655387:MQE655392 NAA655387:NAA655392 NJW655387:NJW655392 NTS655387:NTS655392 ODO655387:ODO655392 ONK655387:ONK655392 OXG655387:OXG655392 PHC655387:PHC655392 PQY655387:PQY655392 QAU655387:QAU655392 QKQ655387:QKQ655392 QUM655387:QUM655392 REI655387:REI655392 ROE655387:ROE655392 RYA655387:RYA655392 SHW655387:SHW655392 SRS655387:SRS655392 TBO655387:TBO655392 TLK655387:TLK655392 TVG655387:TVG655392 UFC655387:UFC655392 UOY655387:UOY655392 UYU655387:UYU655392 VIQ655387:VIQ655392 VSM655387:VSM655392 WCI655387:WCI655392 WME655387:WME655392 WWA655387:WWA655392 S720923:S720928 JO720923:JO720928 TK720923:TK720928 ADG720923:ADG720928 ANC720923:ANC720928 AWY720923:AWY720928 BGU720923:BGU720928 BQQ720923:BQQ720928 CAM720923:CAM720928 CKI720923:CKI720928 CUE720923:CUE720928 DEA720923:DEA720928 DNW720923:DNW720928 DXS720923:DXS720928 EHO720923:EHO720928 ERK720923:ERK720928 FBG720923:FBG720928 FLC720923:FLC720928 FUY720923:FUY720928 GEU720923:GEU720928 GOQ720923:GOQ720928 GYM720923:GYM720928 HII720923:HII720928 HSE720923:HSE720928 ICA720923:ICA720928 ILW720923:ILW720928 IVS720923:IVS720928 JFO720923:JFO720928 JPK720923:JPK720928 JZG720923:JZG720928 KJC720923:KJC720928 KSY720923:KSY720928 LCU720923:LCU720928 LMQ720923:LMQ720928 LWM720923:LWM720928 MGI720923:MGI720928 MQE720923:MQE720928 NAA720923:NAA720928 NJW720923:NJW720928 NTS720923:NTS720928 ODO720923:ODO720928 ONK720923:ONK720928 OXG720923:OXG720928 PHC720923:PHC720928 PQY720923:PQY720928 QAU720923:QAU720928 QKQ720923:QKQ720928 QUM720923:QUM720928 REI720923:REI720928 ROE720923:ROE720928 RYA720923:RYA720928 SHW720923:SHW720928 SRS720923:SRS720928 TBO720923:TBO720928 TLK720923:TLK720928 TVG720923:TVG720928 UFC720923:UFC720928 UOY720923:UOY720928 UYU720923:UYU720928 VIQ720923:VIQ720928 VSM720923:VSM720928 WCI720923:WCI720928 WME720923:WME720928 WWA720923:WWA720928 S786459:S786464 JO786459:JO786464 TK786459:TK786464 ADG786459:ADG786464 ANC786459:ANC786464 AWY786459:AWY786464 BGU786459:BGU786464 BQQ786459:BQQ786464 CAM786459:CAM786464 CKI786459:CKI786464 CUE786459:CUE786464 DEA786459:DEA786464 DNW786459:DNW786464 DXS786459:DXS786464 EHO786459:EHO786464 ERK786459:ERK786464 FBG786459:FBG786464 FLC786459:FLC786464 FUY786459:FUY786464 GEU786459:GEU786464 GOQ786459:GOQ786464 GYM786459:GYM786464 HII786459:HII786464 HSE786459:HSE786464 ICA786459:ICA786464 ILW786459:ILW786464 IVS786459:IVS786464 JFO786459:JFO786464 JPK786459:JPK786464 JZG786459:JZG786464 KJC786459:KJC786464 KSY786459:KSY786464 LCU786459:LCU786464 LMQ786459:LMQ786464 LWM786459:LWM786464 MGI786459:MGI786464 MQE786459:MQE786464 NAA786459:NAA786464 NJW786459:NJW786464 NTS786459:NTS786464 ODO786459:ODO786464 ONK786459:ONK786464 OXG786459:OXG786464 PHC786459:PHC786464 PQY786459:PQY786464 QAU786459:QAU786464 QKQ786459:QKQ786464 QUM786459:QUM786464 REI786459:REI786464 ROE786459:ROE786464 RYA786459:RYA786464 SHW786459:SHW786464 SRS786459:SRS786464 TBO786459:TBO786464 TLK786459:TLK786464 TVG786459:TVG786464 UFC786459:UFC786464 UOY786459:UOY786464 UYU786459:UYU786464 VIQ786459:VIQ786464 VSM786459:VSM786464 WCI786459:WCI786464 WME786459:WME786464 WWA786459:WWA786464 S851995:S852000 JO851995:JO852000 TK851995:TK852000 ADG851995:ADG852000 ANC851995:ANC852000 AWY851995:AWY852000 BGU851995:BGU852000 BQQ851995:BQQ852000 CAM851995:CAM852000 CKI851995:CKI852000 CUE851995:CUE852000 DEA851995:DEA852000 DNW851995:DNW852000 DXS851995:DXS852000 EHO851995:EHO852000 ERK851995:ERK852000 FBG851995:FBG852000 FLC851995:FLC852000 FUY851995:FUY852000 GEU851995:GEU852000 GOQ851995:GOQ852000 GYM851995:GYM852000 HII851995:HII852000 HSE851995:HSE852000 ICA851995:ICA852000 ILW851995:ILW852000 IVS851995:IVS852000 JFO851995:JFO852000 JPK851995:JPK852000 JZG851995:JZG852000 KJC851995:KJC852000 KSY851995:KSY852000 LCU851995:LCU852000 LMQ851995:LMQ852000 LWM851995:LWM852000 MGI851995:MGI852000 MQE851995:MQE852000 NAA851995:NAA852000 NJW851995:NJW852000 NTS851995:NTS852000 ODO851995:ODO852000 ONK851995:ONK852000 OXG851995:OXG852000 PHC851995:PHC852000 PQY851995:PQY852000 QAU851995:QAU852000 QKQ851995:QKQ852000 QUM851995:QUM852000 REI851995:REI852000 ROE851995:ROE852000 RYA851995:RYA852000 SHW851995:SHW852000 SRS851995:SRS852000 TBO851995:TBO852000 TLK851995:TLK852000 TVG851995:TVG852000 UFC851995:UFC852000 UOY851995:UOY852000 UYU851995:UYU852000 VIQ851995:VIQ852000 VSM851995:VSM852000 WCI851995:WCI852000 WME851995:WME852000 WWA851995:WWA852000 S917531:S917536 JO917531:JO917536 TK917531:TK917536 ADG917531:ADG917536 ANC917531:ANC917536 AWY917531:AWY917536 BGU917531:BGU917536 BQQ917531:BQQ917536 CAM917531:CAM917536 CKI917531:CKI917536 CUE917531:CUE917536 DEA917531:DEA917536 DNW917531:DNW917536 DXS917531:DXS917536 EHO917531:EHO917536 ERK917531:ERK917536 FBG917531:FBG917536 FLC917531:FLC917536 FUY917531:FUY917536 GEU917531:GEU917536 GOQ917531:GOQ917536 GYM917531:GYM917536 HII917531:HII917536 HSE917531:HSE917536 ICA917531:ICA917536 ILW917531:ILW917536 IVS917531:IVS917536 JFO917531:JFO917536 JPK917531:JPK917536 JZG917531:JZG917536 KJC917531:KJC917536 KSY917531:KSY917536 LCU917531:LCU917536 LMQ917531:LMQ917536 LWM917531:LWM917536 MGI917531:MGI917536 MQE917531:MQE917536 NAA917531:NAA917536 NJW917531:NJW917536 NTS917531:NTS917536 ODO917531:ODO917536 ONK917531:ONK917536 OXG917531:OXG917536 PHC917531:PHC917536 PQY917531:PQY917536 QAU917531:QAU917536 QKQ917531:QKQ917536 QUM917531:QUM917536 REI917531:REI917536 ROE917531:ROE917536 RYA917531:RYA917536 SHW917531:SHW917536 SRS917531:SRS917536 TBO917531:TBO917536 TLK917531:TLK917536 TVG917531:TVG917536 UFC917531:UFC917536 UOY917531:UOY917536 UYU917531:UYU917536 VIQ917531:VIQ917536 VSM917531:VSM917536 WCI917531:WCI917536 WME917531:WME917536 WWA917531:WWA917536 S983067:S983072 JO983067:JO983072 TK983067:TK983072 ADG983067:ADG983072 ANC983067:ANC983072 AWY983067:AWY983072 BGU983067:BGU983072 BQQ983067:BQQ983072 CAM983067:CAM983072 CKI983067:CKI983072 CUE983067:CUE983072 DEA983067:DEA983072 DNW983067:DNW983072 DXS983067:DXS983072 EHO983067:EHO983072 ERK983067:ERK983072 FBG983067:FBG983072 FLC983067:FLC983072 FUY983067:FUY983072 GEU983067:GEU983072 GOQ983067:GOQ983072 GYM983067:GYM983072 HII983067:HII983072 HSE983067:HSE983072 ICA983067:ICA983072 ILW983067:ILW983072 IVS983067:IVS983072 JFO983067:JFO983072 JPK983067:JPK983072 JZG983067:JZG983072 KJC983067:KJC983072 KSY983067:KSY983072 LCU983067:LCU983072 LMQ983067:LMQ983072 LWM983067:LWM983072 MGI983067:MGI983072 MQE983067:MQE983072 NAA983067:NAA983072 NJW983067:NJW983072 NTS983067:NTS983072 ODO983067:ODO983072 ONK983067:ONK983072 OXG983067:OXG983072 PHC983067:PHC983072 PQY983067:PQY983072 QAU983067:QAU983072 QKQ983067:QKQ983072 QUM983067:QUM983072 REI983067:REI983072 ROE983067:ROE983072 RYA983067:RYA983072 SHW983067:SHW983072 SRS983067:SRS983072 TBO983067:TBO983072 TLK983067:TLK983072 TVG983067:TVG983072 UFC983067:UFC983072 UOY983067:UOY983072 UYU983067:UYU983072 VIQ983067:VIQ983072 VSM983067:VSM983072 WCI983067:WCI983072 WME983067:WME983072 WWA983067:WWA983072 S67:S72 JO67:JO72 TK67:TK72 ADG67:ADG72 ANC67:ANC72 AWY67:AWY72 BGU67:BGU72 BQQ67:BQQ72 CAM67:CAM72 CKI67:CKI72 CUE67:CUE72 DEA67:DEA72 DNW67:DNW72 DXS67:DXS72 EHO67:EHO72 ERK67:ERK72 FBG67:FBG72 FLC67:FLC72 FUY67:FUY72 GEU67:GEU72 GOQ67:GOQ72 GYM67:GYM72 HII67:HII72 HSE67:HSE72 ICA67:ICA72 ILW67:ILW72 IVS67:IVS72 JFO67:JFO72 JPK67:JPK72 JZG67:JZG72 KJC67:KJC72 KSY67:KSY72 LCU67:LCU72 LMQ67:LMQ72 LWM67:LWM72 MGI67:MGI72 MQE67:MQE72 NAA67:NAA72 NJW67:NJW72 NTS67:NTS72 ODO67:ODO72 ONK67:ONK72 OXG67:OXG72 PHC67:PHC72 PQY67:PQY72 QAU67:QAU72 QKQ67:QKQ72 QUM67:QUM72 REI67:REI72 ROE67:ROE72 RYA67:RYA72 SHW67:SHW72 SRS67:SRS72 TBO67:TBO72 TLK67:TLK72 TVG67:TVG72 UFC67:UFC72 UOY67:UOY72 UYU67:UYU72 VIQ67:VIQ72 VSM67:VSM72 WCI67:WCI72 WME67:WME72 WWA67:WWA72 S65603:S65608 JO65603:JO65608 TK65603:TK65608 ADG65603:ADG65608 ANC65603:ANC65608 AWY65603:AWY65608 BGU65603:BGU65608 BQQ65603:BQQ65608 CAM65603:CAM65608 CKI65603:CKI65608 CUE65603:CUE65608 DEA65603:DEA65608 DNW65603:DNW65608 DXS65603:DXS65608 EHO65603:EHO65608 ERK65603:ERK65608 FBG65603:FBG65608 FLC65603:FLC65608 FUY65603:FUY65608 GEU65603:GEU65608 GOQ65603:GOQ65608 GYM65603:GYM65608 HII65603:HII65608 HSE65603:HSE65608 ICA65603:ICA65608 ILW65603:ILW65608 IVS65603:IVS65608 JFO65603:JFO65608 JPK65603:JPK65608 JZG65603:JZG65608 KJC65603:KJC65608 KSY65603:KSY65608 LCU65603:LCU65608 LMQ65603:LMQ65608 LWM65603:LWM65608 MGI65603:MGI65608 MQE65603:MQE65608 NAA65603:NAA65608 NJW65603:NJW65608 NTS65603:NTS65608 ODO65603:ODO65608 ONK65603:ONK65608 OXG65603:OXG65608 PHC65603:PHC65608 PQY65603:PQY65608 QAU65603:QAU65608 QKQ65603:QKQ65608 QUM65603:QUM65608 REI65603:REI65608 ROE65603:ROE65608 RYA65603:RYA65608 SHW65603:SHW65608 SRS65603:SRS65608 TBO65603:TBO65608 TLK65603:TLK65608 TVG65603:TVG65608 UFC65603:UFC65608 UOY65603:UOY65608 UYU65603:UYU65608 VIQ65603:VIQ65608 VSM65603:VSM65608 WCI65603:WCI65608 WME65603:WME65608 WWA65603:WWA65608 S131139:S131144 JO131139:JO131144 TK131139:TK131144 ADG131139:ADG131144 ANC131139:ANC131144 AWY131139:AWY131144 BGU131139:BGU131144 BQQ131139:BQQ131144 CAM131139:CAM131144 CKI131139:CKI131144 CUE131139:CUE131144 DEA131139:DEA131144 DNW131139:DNW131144 DXS131139:DXS131144 EHO131139:EHO131144 ERK131139:ERK131144 FBG131139:FBG131144 FLC131139:FLC131144 FUY131139:FUY131144 GEU131139:GEU131144 GOQ131139:GOQ131144 GYM131139:GYM131144 HII131139:HII131144 HSE131139:HSE131144 ICA131139:ICA131144 ILW131139:ILW131144 IVS131139:IVS131144 JFO131139:JFO131144 JPK131139:JPK131144 JZG131139:JZG131144 KJC131139:KJC131144 KSY131139:KSY131144 LCU131139:LCU131144 LMQ131139:LMQ131144 LWM131139:LWM131144 MGI131139:MGI131144 MQE131139:MQE131144 NAA131139:NAA131144 NJW131139:NJW131144 NTS131139:NTS131144 ODO131139:ODO131144 ONK131139:ONK131144 OXG131139:OXG131144 PHC131139:PHC131144 PQY131139:PQY131144 QAU131139:QAU131144 QKQ131139:QKQ131144 QUM131139:QUM131144 REI131139:REI131144 ROE131139:ROE131144 RYA131139:RYA131144 SHW131139:SHW131144 SRS131139:SRS131144 TBO131139:TBO131144 TLK131139:TLK131144 TVG131139:TVG131144 UFC131139:UFC131144 UOY131139:UOY131144 UYU131139:UYU131144 VIQ131139:VIQ131144 VSM131139:VSM131144 WCI131139:WCI131144 WME131139:WME131144 WWA131139:WWA131144 S196675:S196680 JO196675:JO196680 TK196675:TK196680 ADG196675:ADG196680 ANC196675:ANC196680 AWY196675:AWY196680 BGU196675:BGU196680 BQQ196675:BQQ196680 CAM196675:CAM196680 CKI196675:CKI196680 CUE196675:CUE196680 DEA196675:DEA196680 DNW196675:DNW196680 DXS196675:DXS196680 EHO196675:EHO196680 ERK196675:ERK196680 FBG196675:FBG196680 FLC196675:FLC196680 FUY196675:FUY196680 GEU196675:GEU196680 GOQ196675:GOQ196680 GYM196675:GYM196680 HII196675:HII196680 HSE196675:HSE196680 ICA196675:ICA196680 ILW196675:ILW196680 IVS196675:IVS196680 JFO196675:JFO196680 JPK196675:JPK196680 JZG196675:JZG196680 KJC196675:KJC196680 KSY196675:KSY196680 LCU196675:LCU196680 LMQ196675:LMQ196680 LWM196675:LWM196680 MGI196675:MGI196680 MQE196675:MQE196680 NAA196675:NAA196680 NJW196675:NJW196680 NTS196675:NTS196680 ODO196675:ODO196680 ONK196675:ONK196680 OXG196675:OXG196680 PHC196675:PHC196680 PQY196675:PQY196680 QAU196675:QAU196680 QKQ196675:QKQ196680 QUM196675:QUM196680 REI196675:REI196680 ROE196675:ROE196680 RYA196675:RYA196680 SHW196675:SHW196680 SRS196675:SRS196680 TBO196675:TBO196680 TLK196675:TLK196680 TVG196675:TVG196680 UFC196675:UFC196680 UOY196675:UOY196680 UYU196675:UYU196680 VIQ196675:VIQ196680 VSM196675:VSM196680 WCI196675:WCI196680 WME196675:WME196680 WWA196675:WWA196680 S262211:S262216 JO262211:JO262216 TK262211:TK262216 ADG262211:ADG262216 ANC262211:ANC262216 AWY262211:AWY262216 BGU262211:BGU262216 BQQ262211:BQQ262216 CAM262211:CAM262216 CKI262211:CKI262216 CUE262211:CUE262216 DEA262211:DEA262216 DNW262211:DNW262216 DXS262211:DXS262216 EHO262211:EHO262216 ERK262211:ERK262216 FBG262211:FBG262216 FLC262211:FLC262216 FUY262211:FUY262216 GEU262211:GEU262216 GOQ262211:GOQ262216 GYM262211:GYM262216 HII262211:HII262216 HSE262211:HSE262216 ICA262211:ICA262216 ILW262211:ILW262216 IVS262211:IVS262216 JFO262211:JFO262216 JPK262211:JPK262216 JZG262211:JZG262216 KJC262211:KJC262216 KSY262211:KSY262216 LCU262211:LCU262216 LMQ262211:LMQ262216 LWM262211:LWM262216 MGI262211:MGI262216 MQE262211:MQE262216 NAA262211:NAA262216 NJW262211:NJW262216 NTS262211:NTS262216 ODO262211:ODO262216 ONK262211:ONK262216 OXG262211:OXG262216 PHC262211:PHC262216 PQY262211:PQY262216 QAU262211:QAU262216 QKQ262211:QKQ262216 QUM262211:QUM262216 REI262211:REI262216 ROE262211:ROE262216 RYA262211:RYA262216 SHW262211:SHW262216 SRS262211:SRS262216 TBO262211:TBO262216 TLK262211:TLK262216 TVG262211:TVG262216 UFC262211:UFC262216 UOY262211:UOY262216 UYU262211:UYU262216 VIQ262211:VIQ262216 VSM262211:VSM262216 WCI262211:WCI262216 WME262211:WME262216 WWA262211:WWA262216 S327747:S327752 JO327747:JO327752 TK327747:TK327752 ADG327747:ADG327752 ANC327747:ANC327752 AWY327747:AWY327752 BGU327747:BGU327752 BQQ327747:BQQ327752 CAM327747:CAM327752 CKI327747:CKI327752 CUE327747:CUE327752 DEA327747:DEA327752 DNW327747:DNW327752 DXS327747:DXS327752 EHO327747:EHO327752 ERK327747:ERK327752 FBG327747:FBG327752 FLC327747:FLC327752 FUY327747:FUY327752 GEU327747:GEU327752 GOQ327747:GOQ327752 GYM327747:GYM327752 HII327747:HII327752 HSE327747:HSE327752 ICA327747:ICA327752 ILW327747:ILW327752 IVS327747:IVS327752 JFO327747:JFO327752 JPK327747:JPK327752 JZG327747:JZG327752 KJC327747:KJC327752 KSY327747:KSY327752 LCU327747:LCU327752 LMQ327747:LMQ327752 LWM327747:LWM327752 MGI327747:MGI327752 MQE327747:MQE327752 NAA327747:NAA327752 NJW327747:NJW327752 NTS327747:NTS327752 ODO327747:ODO327752 ONK327747:ONK327752 OXG327747:OXG327752 PHC327747:PHC327752 PQY327747:PQY327752 QAU327747:QAU327752 QKQ327747:QKQ327752 QUM327747:QUM327752 REI327747:REI327752 ROE327747:ROE327752 RYA327747:RYA327752 SHW327747:SHW327752 SRS327747:SRS327752 TBO327747:TBO327752 TLK327747:TLK327752 TVG327747:TVG327752 UFC327747:UFC327752 UOY327747:UOY327752 UYU327747:UYU327752 VIQ327747:VIQ327752 VSM327747:VSM327752 WCI327747:WCI327752 WME327747:WME327752 WWA327747:WWA327752 S393283:S393288 JO393283:JO393288 TK393283:TK393288 ADG393283:ADG393288 ANC393283:ANC393288 AWY393283:AWY393288 BGU393283:BGU393288 BQQ393283:BQQ393288 CAM393283:CAM393288 CKI393283:CKI393288 CUE393283:CUE393288 DEA393283:DEA393288 DNW393283:DNW393288 DXS393283:DXS393288 EHO393283:EHO393288 ERK393283:ERK393288 FBG393283:FBG393288 FLC393283:FLC393288 FUY393283:FUY393288 GEU393283:GEU393288 GOQ393283:GOQ393288 GYM393283:GYM393288 HII393283:HII393288 HSE393283:HSE393288 ICA393283:ICA393288 ILW393283:ILW393288 IVS393283:IVS393288 JFO393283:JFO393288 JPK393283:JPK393288 JZG393283:JZG393288 KJC393283:KJC393288 KSY393283:KSY393288 LCU393283:LCU393288 LMQ393283:LMQ393288 LWM393283:LWM393288 MGI393283:MGI393288 MQE393283:MQE393288 NAA393283:NAA393288 NJW393283:NJW393288 NTS393283:NTS393288 ODO393283:ODO393288 ONK393283:ONK393288 OXG393283:OXG393288 PHC393283:PHC393288 PQY393283:PQY393288 QAU393283:QAU393288 QKQ393283:QKQ393288 QUM393283:QUM393288 REI393283:REI393288 ROE393283:ROE393288 RYA393283:RYA393288 SHW393283:SHW393288 SRS393283:SRS393288 TBO393283:TBO393288 TLK393283:TLK393288 TVG393283:TVG393288 UFC393283:UFC393288 UOY393283:UOY393288 UYU393283:UYU393288 VIQ393283:VIQ393288 VSM393283:VSM393288 WCI393283:WCI393288 WME393283:WME393288 WWA393283:WWA393288 S458819:S458824 JO458819:JO458824 TK458819:TK458824 ADG458819:ADG458824 ANC458819:ANC458824 AWY458819:AWY458824 BGU458819:BGU458824 BQQ458819:BQQ458824 CAM458819:CAM458824 CKI458819:CKI458824 CUE458819:CUE458824 DEA458819:DEA458824 DNW458819:DNW458824 DXS458819:DXS458824 EHO458819:EHO458824 ERK458819:ERK458824 FBG458819:FBG458824 FLC458819:FLC458824 FUY458819:FUY458824 GEU458819:GEU458824 GOQ458819:GOQ458824 GYM458819:GYM458824 HII458819:HII458824 HSE458819:HSE458824 ICA458819:ICA458824 ILW458819:ILW458824 IVS458819:IVS458824 JFO458819:JFO458824 JPK458819:JPK458824 JZG458819:JZG458824 KJC458819:KJC458824 KSY458819:KSY458824 LCU458819:LCU458824 LMQ458819:LMQ458824 LWM458819:LWM458824 MGI458819:MGI458824 MQE458819:MQE458824 NAA458819:NAA458824 NJW458819:NJW458824 NTS458819:NTS458824 ODO458819:ODO458824 ONK458819:ONK458824 OXG458819:OXG458824 PHC458819:PHC458824 PQY458819:PQY458824 QAU458819:QAU458824 QKQ458819:QKQ458824 QUM458819:QUM458824 REI458819:REI458824 ROE458819:ROE458824 RYA458819:RYA458824 SHW458819:SHW458824 SRS458819:SRS458824 TBO458819:TBO458824 TLK458819:TLK458824 TVG458819:TVG458824 UFC458819:UFC458824 UOY458819:UOY458824 UYU458819:UYU458824 VIQ458819:VIQ458824 VSM458819:VSM458824 WCI458819:WCI458824 WME458819:WME458824 WWA458819:WWA458824 S524355:S524360 JO524355:JO524360 TK524355:TK524360 ADG524355:ADG524360 ANC524355:ANC524360 AWY524355:AWY524360 BGU524355:BGU524360 BQQ524355:BQQ524360 CAM524355:CAM524360 CKI524355:CKI524360 CUE524355:CUE524360 DEA524355:DEA524360 DNW524355:DNW524360 DXS524355:DXS524360 EHO524355:EHO524360 ERK524355:ERK524360 FBG524355:FBG524360 FLC524355:FLC524360 FUY524355:FUY524360 GEU524355:GEU524360 GOQ524355:GOQ524360 GYM524355:GYM524360 HII524355:HII524360 HSE524355:HSE524360 ICA524355:ICA524360 ILW524355:ILW524360 IVS524355:IVS524360 JFO524355:JFO524360 JPK524355:JPK524360 JZG524355:JZG524360 KJC524355:KJC524360 KSY524355:KSY524360 LCU524355:LCU524360 LMQ524355:LMQ524360 LWM524355:LWM524360 MGI524355:MGI524360 MQE524355:MQE524360 NAA524355:NAA524360 NJW524355:NJW524360 NTS524355:NTS524360 ODO524355:ODO524360 ONK524355:ONK524360 OXG524355:OXG524360 PHC524355:PHC524360 PQY524355:PQY524360 QAU524355:QAU524360 QKQ524355:QKQ524360 QUM524355:QUM524360 REI524355:REI524360 ROE524355:ROE524360 RYA524355:RYA524360 SHW524355:SHW524360 SRS524355:SRS524360 TBO524355:TBO524360 TLK524355:TLK524360 TVG524355:TVG524360 UFC524355:UFC524360 UOY524355:UOY524360 UYU524355:UYU524360 VIQ524355:VIQ524360 VSM524355:VSM524360 WCI524355:WCI524360 WME524355:WME524360 WWA524355:WWA524360 S589891:S589896 JO589891:JO589896 TK589891:TK589896 ADG589891:ADG589896 ANC589891:ANC589896 AWY589891:AWY589896 BGU589891:BGU589896 BQQ589891:BQQ589896 CAM589891:CAM589896 CKI589891:CKI589896 CUE589891:CUE589896 DEA589891:DEA589896 DNW589891:DNW589896 DXS589891:DXS589896 EHO589891:EHO589896 ERK589891:ERK589896 FBG589891:FBG589896 FLC589891:FLC589896 FUY589891:FUY589896 GEU589891:GEU589896 GOQ589891:GOQ589896 GYM589891:GYM589896 HII589891:HII589896 HSE589891:HSE589896 ICA589891:ICA589896 ILW589891:ILW589896 IVS589891:IVS589896 JFO589891:JFO589896 JPK589891:JPK589896 JZG589891:JZG589896 KJC589891:KJC589896 KSY589891:KSY589896 LCU589891:LCU589896 LMQ589891:LMQ589896 LWM589891:LWM589896 MGI589891:MGI589896 MQE589891:MQE589896 NAA589891:NAA589896 NJW589891:NJW589896 NTS589891:NTS589896 ODO589891:ODO589896 ONK589891:ONK589896 OXG589891:OXG589896 PHC589891:PHC589896 PQY589891:PQY589896 QAU589891:QAU589896 QKQ589891:QKQ589896 QUM589891:QUM589896 REI589891:REI589896 ROE589891:ROE589896 RYA589891:RYA589896 SHW589891:SHW589896 SRS589891:SRS589896 TBO589891:TBO589896 TLK589891:TLK589896 TVG589891:TVG589896 UFC589891:UFC589896 UOY589891:UOY589896 UYU589891:UYU589896 VIQ589891:VIQ589896 VSM589891:VSM589896 WCI589891:WCI589896 WME589891:WME589896 WWA589891:WWA589896 S655427:S655432 JO655427:JO655432 TK655427:TK655432 ADG655427:ADG655432 ANC655427:ANC655432 AWY655427:AWY655432 BGU655427:BGU655432 BQQ655427:BQQ655432 CAM655427:CAM655432 CKI655427:CKI655432 CUE655427:CUE655432 DEA655427:DEA655432 DNW655427:DNW655432 DXS655427:DXS655432 EHO655427:EHO655432 ERK655427:ERK655432 FBG655427:FBG655432 FLC655427:FLC655432 FUY655427:FUY655432 GEU655427:GEU655432 GOQ655427:GOQ655432 GYM655427:GYM655432 HII655427:HII655432 HSE655427:HSE655432 ICA655427:ICA655432 ILW655427:ILW655432 IVS655427:IVS655432 JFO655427:JFO655432 JPK655427:JPK655432 JZG655427:JZG655432 KJC655427:KJC655432 KSY655427:KSY655432 LCU655427:LCU655432 LMQ655427:LMQ655432 LWM655427:LWM655432 MGI655427:MGI655432 MQE655427:MQE655432 NAA655427:NAA655432 NJW655427:NJW655432 NTS655427:NTS655432 ODO655427:ODO655432 ONK655427:ONK655432 OXG655427:OXG655432 PHC655427:PHC655432 PQY655427:PQY655432 QAU655427:QAU655432 QKQ655427:QKQ655432 QUM655427:QUM655432 REI655427:REI655432 ROE655427:ROE655432 RYA655427:RYA655432 SHW655427:SHW655432 SRS655427:SRS655432 TBO655427:TBO655432 TLK655427:TLK655432 TVG655427:TVG655432 UFC655427:UFC655432 UOY655427:UOY655432 UYU655427:UYU655432 VIQ655427:VIQ655432 VSM655427:VSM655432 WCI655427:WCI655432 WME655427:WME655432 WWA655427:WWA655432 S720963:S720968 JO720963:JO720968 TK720963:TK720968 ADG720963:ADG720968 ANC720963:ANC720968 AWY720963:AWY720968 BGU720963:BGU720968 BQQ720963:BQQ720968 CAM720963:CAM720968 CKI720963:CKI720968 CUE720963:CUE720968 DEA720963:DEA720968 DNW720963:DNW720968 DXS720963:DXS720968 EHO720963:EHO720968 ERK720963:ERK720968 FBG720963:FBG720968 FLC720963:FLC720968 FUY720963:FUY720968 GEU720963:GEU720968 GOQ720963:GOQ720968 GYM720963:GYM720968 HII720963:HII720968 HSE720963:HSE720968 ICA720963:ICA720968 ILW720963:ILW720968 IVS720963:IVS720968 JFO720963:JFO720968 JPK720963:JPK720968 JZG720963:JZG720968 KJC720963:KJC720968 KSY720963:KSY720968 LCU720963:LCU720968 LMQ720963:LMQ720968 LWM720963:LWM720968 MGI720963:MGI720968 MQE720963:MQE720968 NAA720963:NAA720968 NJW720963:NJW720968 NTS720963:NTS720968 ODO720963:ODO720968 ONK720963:ONK720968 OXG720963:OXG720968 PHC720963:PHC720968 PQY720963:PQY720968 QAU720963:QAU720968 QKQ720963:QKQ720968 QUM720963:QUM720968 REI720963:REI720968 ROE720963:ROE720968 RYA720963:RYA720968 SHW720963:SHW720968 SRS720963:SRS720968 TBO720963:TBO720968 TLK720963:TLK720968 TVG720963:TVG720968 UFC720963:UFC720968 UOY720963:UOY720968 UYU720963:UYU720968 VIQ720963:VIQ720968 VSM720963:VSM720968 WCI720963:WCI720968 WME720963:WME720968 WWA720963:WWA720968 S786499:S786504 JO786499:JO786504 TK786499:TK786504 ADG786499:ADG786504 ANC786499:ANC786504 AWY786499:AWY786504 BGU786499:BGU786504 BQQ786499:BQQ786504 CAM786499:CAM786504 CKI786499:CKI786504 CUE786499:CUE786504 DEA786499:DEA786504 DNW786499:DNW786504 DXS786499:DXS786504 EHO786499:EHO786504 ERK786499:ERK786504 FBG786499:FBG786504 FLC786499:FLC786504 FUY786499:FUY786504 GEU786499:GEU786504 GOQ786499:GOQ786504 GYM786499:GYM786504 HII786499:HII786504 HSE786499:HSE786504 ICA786499:ICA786504 ILW786499:ILW786504 IVS786499:IVS786504 JFO786499:JFO786504 JPK786499:JPK786504 JZG786499:JZG786504 KJC786499:KJC786504 KSY786499:KSY786504 LCU786499:LCU786504 LMQ786499:LMQ786504 LWM786499:LWM786504 MGI786499:MGI786504 MQE786499:MQE786504 NAA786499:NAA786504 NJW786499:NJW786504 NTS786499:NTS786504 ODO786499:ODO786504 ONK786499:ONK786504 OXG786499:OXG786504 PHC786499:PHC786504 PQY786499:PQY786504 QAU786499:QAU786504 QKQ786499:QKQ786504 QUM786499:QUM786504 REI786499:REI786504 ROE786499:ROE786504 RYA786499:RYA786504 SHW786499:SHW786504 SRS786499:SRS786504 TBO786499:TBO786504 TLK786499:TLK786504 TVG786499:TVG786504 UFC786499:UFC786504 UOY786499:UOY786504 UYU786499:UYU786504 VIQ786499:VIQ786504 VSM786499:VSM786504 WCI786499:WCI786504 WME786499:WME786504 WWA786499:WWA786504 S852035:S852040 JO852035:JO852040 TK852035:TK852040 ADG852035:ADG852040 ANC852035:ANC852040 AWY852035:AWY852040 BGU852035:BGU852040 BQQ852035:BQQ852040 CAM852035:CAM852040 CKI852035:CKI852040 CUE852035:CUE852040 DEA852035:DEA852040 DNW852035:DNW852040 DXS852035:DXS852040 EHO852035:EHO852040 ERK852035:ERK852040 FBG852035:FBG852040 FLC852035:FLC852040 FUY852035:FUY852040 GEU852035:GEU852040 GOQ852035:GOQ852040 GYM852035:GYM852040 HII852035:HII852040 HSE852035:HSE852040 ICA852035:ICA852040 ILW852035:ILW852040 IVS852035:IVS852040 JFO852035:JFO852040 JPK852035:JPK852040 JZG852035:JZG852040 KJC852035:KJC852040 KSY852035:KSY852040 LCU852035:LCU852040 LMQ852035:LMQ852040 LWM852035:LWM852040 MGI852035:MGI852040 MQE852035:MQE852040 NAA852035:NAA852040 NJW852035:NJW852040 NTS852035:NTS852040 ODO852035:ODO852040 ONK852035:ONK852040 OXG852035:OXG852040 PHC852035:PHC852040 PQY852035:PQY852040 QAU852035:QAU852040 QKQ852035:QKQ852040 QUM852035:QUM852040 REI852035:REI852040 ROE852035:ROE852040 RYA852035:RYA852040 SHW852035:SHW852040 SRS852035:SRS852040 TBO852035:TBO852040 TLK852035:TLK852040 TVG852035:TVG852040 UFC852035:UFC852040 UOY852035:UOY852040 UYU852035:UYU852040 VIQ852035:VIQ852040 VSM852035:VSM852040 WCI852035:WCI852040 WME852035:WME852040 WWA852035:WWA852040 S917571:S917576 JO917571:JO917576 TK917571:TK917576 ADG917571:ADG917576 ANC917571:ANC917576 AWY917571:AWY917576 BGU917571:BGU917576 BQQ917571:BQQ917576 CAM917571:CAM917576 CKI917571:CKI917576 CUE917571:CUE917576 DEA917571:DEA917576 DNW917571:DNW917576 DXS917571:DXS917576 EHO917571:EHO917576 ERK917571:ERK917576 FBG917571:FBG917576 FLC917571:FLC917576 FUY917571:FUY917576 GEU917571:GEU917576 GOQ917571:GOQ917576 GYM917571:GYM917576 HII917571:HII917576 HSE917571:HSE917576 ICA917571:ICA917576 ILW917571:ILW917576 IVS917571:IVS917576 JFO917571:JFO917576 JPK917571:JPK917576 JZG917571:JZG917576 KJC917571:KJC917576 KSY917571:KSY917576 LCU917571:LCU917576 LMQ917571:LMQ917576 LWM917571:LWM917576 MGI917571:MGI917576 MQE917571:MQE917576 NAA917571:NAA917576 NJW917571:NJW917576 NTS917571:NTS917576 ODO917571:ODO917576 ONK917571:ONK917576 OXG917571:OXG917576 PHC917571:PHC917576 PQY917571:PQY917576 QAU917571:QAU917576 QKQ917571:QKQ917576 QUM917571:QUM917576 REI917571:REI917576 ROE917571:ROE917576 RYA917571:RYA917576 SHW917571:SHW917576 SRS917571:SRS917576 TBO917571:TBO917576 TLK917571:TLK917576 TVG917571:TVG917576 UFC917571:UFC917576 UOY917571:UOY917576 UYU917571:UYU917576 VIQ917571:VIQ917576 VSM917571:VSM917576 WCI917571:WCI917576 WME917571:WME917576 WWA917571:WWA917576 S983107:S983112 JO983107:JO983112 TK983107:TK983112 ADG983107:ADG983112 ANC983107:ANC983112 AWY983107:AWY983112 BGU983107:BGU983112 BQQ983107:BQQ983112 CAM983107:CAM983112 CKI983107:CKI983112 CUE983107:CUE983112 DEA983107:DEA983112 DNW983107:DNW983112 DXS983107:DXS983112 EHO983107:EHO983112 ERK983107:ERK983112 FBG983107:FBG983112 FLC983107:FLC983112 FUY983107:FUY983112 GEU983107:GEU983112 GOQ983107:GOQ983112 GYM983107:GYM983112 HII983107:HII983112 HSE983107:HSE983112 ICA983107:ICA983112 ILW983107:ILW983112 IVS983107:IVS983112 JFO983107:JFO983112 JPK983107:JPK983112 JZG983107:JZG983112 KJC983107:KJC983112 KSY983107:KSY983112 LCU983107:LCU983112 LMQ983107:LMQ983112 LWM983107:LWM983112 MGI983107:MGI983112 MQE983107:MQE983112 NAA983107:NAA983112 NJW983107:NJW983112 NTS983107:NTS983112 ODO983107:ODO983112 ONK983107:ONK983112 OXG983107:OXG983112 PHC983107:PHC983112 PQY983107:PQY983112 QAU983107:QAU983112 QKQ983107:QKQ983112 QUM983107:QUM983112 REI983107:REI983112 ROE983107:ROE983112 RYA983107:RYA983112 SHW983107:SHW983112 SRS983107:SRS983112 TBO983107:TBO983112 TLK983107:TLK983112 TVG983107:TVG983112 UFC983107:UFC983112 UOY983107:UOY983112 UYU983107:UYU983112 VIQ983107:VIQ983112 VSM983107:VSM983112 WCI983107:WCI983112 WME983107:WME983112 WWA983107:WWA983112 S107:S112 JO107:JO112 TK107:TK112 ADG107:ADG112 ANC107:ANC112 AWY107:AWY112 BGU107:BGU112 BQQ107:BQQ112 CAM107:CAM112 CKI107:CKI112 CUE107:CUE112 DEA107:DEA112 DNW107:DNW112 DXS107:DXS112 EHO107:EHO112 ERK107:ERK112 FBG107:FBG112 FLC107:FLC112 FUY107:FUY112 GEU107:GEU112 GOQ107:GOQ112 GYM107:GYM112 HII107:HII112 HSE107:HSE112 ICA107:ICA112 ILW107:ILW112 IVS107:IVS112 JFO107:JFO112 JPK107:JPK112 JZG107:JZG112 KJC107:KJC112 KSY107:KSY112 LCU107:LCU112 LMQ107:LMQ112 LWM107:LWM112 MGI107:MGI112 MQE107:MQE112 NAA107:NAA112 NJW107:NJW112 NTS107:NTS112 ODO107:ODO112 ONK107:ONK112 OXG107:OXG112 PHC107:PHC112 PQY107:PQY112 QAU107:QAU112 QKQ107:QKQ112 QUM107:QUM112 REI107:REI112 ROE107:ROE112 RYA107:RYA112 SHW107:SHW112 SRS107:SRS112 TBO107:TBO112 TLK107:TLK112 TVG107:TVG112 UFC107:UFC112 UOY107:UOY112 UYU107:UYU112 VIQ107:VIQ112 VSM107:VSM112 WCI107:WCI112 WME107:WME112 WWA107:WWA112 S65643:S65648 JO65643:JO65648 TK65643:TK65648 ADG65643:ADG65648 ANC65643:ANC65648 AWY65643:AWY65648 BGU65643:BGU65648 BQQ65643:BQQ65648 CAM65643:CAM65648 CKI65643:CKI65648 CUE65643:CUE65648 DEA65643:DEA65648 DNW65643:DNW65648 DXS65643:DXS65648 EHO65643:EHO65648 ERK65643:ERK65648 FBG65643:FBG65648 FLC65643:FLC65648 FUY65643:FUY65648 GEU65643:GEU65648 GOQ65643:GOQ65648 GYM65643:GYM65648 HII65643:HII65648 HSE65643:HSE65648 ICA65643:ICA65648 ILW65643:ILW65648 IVS65643:IVS65648 JFO65643:JFO65648 JPK65643:JPK65648 JZG65643:JZG65648 KJC65643:KJC65648 KSY65643:KSY65648 LCU65643:LCU65648 LMQ65643:LMQ65648 LWM65643:LWM65648 MGI65643:MGI65648 MQE65643:MQE65648 NAA65643:NAA65648 NJW65643:NJW65648 NTS65643:NTS65648 ODO65643:ODO65648 ONK65643:ONK65648 OXG65643:OXG65648 PHC65643:PHC65648 PQY65643:PQY65648 QAU65643:QAU65648 QKQ65643:QKQ65648 QUM65643:QUM65648 REI65643:REI65648 ROE65643:ROE65648 RYA65643:RYA65648 SHW65643:SHW65648 SRS65643:SRS65648 TBO65643:TBO65648 TLK65643:TLK65648 TVG65643:TVG65648 UFC65643:UFC65648 UOY65643:UOY65648 UYU65643:UYU65648 VIQ65643:VIQ65648 VSM65643:VSM65648 WCI65643:WCI65648 WME65643:WME65648 WWA65643:WWA65648 S131179:S131184 JO131179:JO131184 TK131179:TK131184 ADG131179:ADG131184 ANC131179:ANC131184 AWY131179:AWY131184 BGU131179:BGU131184 BQQ131179:BQQ131184 CAM131179:CAM131184 CKI131179:CKI131184 CUE131179:CUE131184 DEA131179:DEA131184 DNW131179:DNW131184 DXS131179:DXS131184 EHO131179:EHO131184 ERK131179:ERK131184 FBG131179:FBG131184 FLC131179:FLC131184 FUY131179:FUY131184 GEU131179:GEU131184 GOQ131179:GOQ131184 GYM131179:GYM131184 HII131179:HII131184 HSE131179:HSE131184 ICA131179:ICA131184 ILW131179:ILW131184 IVS131179:IVS131184 JFO131179:JFO131184 JPK131179:JPK131184 JZG131179:JZG131184 KJC131179:KJC131184 KSY131179:KSY131184 LCU131179:LCU131184 LMQ131179:LMQ131184 LWM131179:LWM131184 MGI131179:MGI131184 MQE131179:MQE131184 NAA131179:NAA131184 NJW131179:NJW131184 NTS131179:NTS131184 ODO131179:ODO131184 ONK131179:ONK131184 OXG131179:OXG131184 PHC131179:PHC131184 PQY131179:PQY131184 QAU131179:QAU131184 QKQ131179:QKQ131184 QUM131179:QUM131184 REI131179:REI131184 ROE131179:ROE131184 RYA131179:RYA131184 SHW131179:SHW131184 SRS131179:SRS131184 TBO131179:TBO131184 TLK131179:TLK131184 TVG131179:TVG131184 UFC131179:UFC131184 UOY131179:UOY131184 UYU131179:UYU131184 VIQ131179:VIQ131184 VSM131179:VSM131184 WCI131179:WCI131184 WME131179:WME131184 WWA131179:WWA131184 S196715:S196720 JO196715:JO196720 TK196715:TK196720 ADG196715:ADG196720 ANC196715:ANC196720 AWY196715:AWY196720 BGU196715:BGU196720 BQQ196715:BQQ196720 CAM196715:CAM196720 CKI196715:CKI196720 CUE196715:CUE196720 DEA196715:DEA196720 DNW196715:DNW196720 DXS196715:DXS196720 EHO196715:EHO196720 ERK196715:ERK196720 FBG196715:FBG196720 FLC196715:FLC196720 FUY196715:FUY196720 GEU196715:GEU196720 GOQ196715:GOQ196720 GYM196715:GYM196720 HII196715:HII196720 HSE196715:HSE196720 ICA196715:ICA196720 ILW196715:ILW196720 IVS196715:IVS196720 JFO196715:JFO196720 JPK196715:JPK196720 JZG196715:JZG196720 KJC196715:KJC196720 KSY196715:KSY196720 LCU196715:LCU196720 LMQ196715:LMQ196720 LWM196715:LWM196720 MGI196715:MGI196720 MQE196715:MQE196720 NAA196715:NAA196720 NJW196715:NJW196720 NTS196715:NTS196720 ODO196715:ODO196720 ONK196715:ONK196720 OXG196715:OXG196720 PHC196715:PHC196720 PQY196715:PQY196720 QAU196715:QAU196720 QKQ196715:QKQ196720 QUM196715:QUM196720 REI196715:REI196720 ROE196715:ROE196720 RYA196715:RYA196720 SHW196715:SHW196720 SRS196715:SRS196720 TBO196715:TBO196720 TLK196715:TLK196720 TVG196715:TVG196720 UFC196715:UFC196720 UOY196715:UOY196720 UYU196715:UYU196720 VIQ196715:VIQ196720 VSM196715:VSM196720 WCI196715:WCI196720 WME196715:WME196720 WWA196715:WWA196720 S262251:S262256 JO262251:JO262256 TK262251:TK262256 ADG262251:ADG262256 ANC262251:ANC262256 AWY262251:AWY262256 BGU262251:BGU262256 BQQ262251:BQQ262256 CAM262251:CAM262256 CKI262251:CKI262256 CUE262251:CUE262256 DEA262251:DEA262256 DNW262251:DNW262256 DXS262251:DXS262256 EHO262251:EHO262256 ERK262251:ERK262256 FBG262251:FBG262256 FLC262251:FLC262256 FUY262251:FUY262256 GEU262251:GEU262256 GOQ262251:GOQ262256 GYM262251:GYM262256 HII262251:HII262256 HSE262251:HSE262256 ICA262251:ICA262256 ILW262251:ILW262256 IVS262251:IVS262256 JFO262251:JFO262256 JPK262251:JPK262256 JZG262251:JZG262256 KJC262251:KJC262256 KSY262251:KSY262256 LCU262251:LCU262256 LMQ262251:LMQ262256 LWM262251:LWM262256 MGI262251:MGI262256 MQE262251:MQE262256 NAA262251:NAA262256 NJW262251:NJW262256 NTS262251:NTS262256 ODO262251:ODO262256 ONK262251:ONK262256 OXG262251:OXG262256 PHC262251:PHC262256 PQY262251:PQY262256 QAU262251:QAU262256 QKQ262251:QKQ262256 QUM262251:QUM262256 REI262251:REI262256 ROE262251:ROE262256 RYA262251:RYA262256 SHW262251:SHW262256 SRS262251:SRS262256 TBO262251:TBO262256 TLK262251:TLK262256 TVG262251:TVG262256 UFC262251:UFC262256 UOY262251:UOY262256 UYU262251:UYU262256 VIQ262251:VIQ262256 VSM262251:VSM262256 WCI262251:WCI262256 WME262251:WME262256 WWA262251:WWA262256 S327787:S327792 JO327787:JO327792 TK327787:TK327792 ADG327787:ADG327792 ANC327787:ANC327792 AWY327787:AWY327792 BGU327787:BGU327792 BQQ327787:BQQ327792 CAM327787:CAM327792 CKI327787:CKI327792 CUE327787:CUE327792 DEA327787:DEA327792 DNW327787:DNW327792 DXS327787:DXS327792 EHO327787:EHO327792 ERK327787:ERK327792 FBG327787:FBG327792 FLC327787:FLC327792 FUY327787:FUY327792 GEU327787:GEU327792 GOQ327787:GOQ327792 GYM327787:GYM327792 HII327787:HII327792 HSE327787:HSE327792 ICA327787:ICA327792 ILW327787:ILW327792 IVS327787:IVS327792 JFO327787:JFO327792 JPK327787:JPK327792 JZG327787:JZG327792 KJC327787:KJC327792 KSY327787:KSY327792 LCU327787:LCU327792 LMQ327787:LMQ327792 LWM327787:LWM327792 MGI327787:MGI327792 MQE327787:MQE327792 NAA327787:NAA327792 NJW327787:NJW327792 NTS327787:NTS327792 ODO327787:ODO327792 ONK327787:ONK327792 OXG327787:OXG327792 PHC327787:PHC327792 PQY327787:PQY327792 QAU327787:QAU327792 QKQ327787:QKQ327792 QUM327787:QUM327792 REI327787:REI327792 ROE327787:ROE327792 RYA327787:RYA327792 SHW327787:SHW327792 SRS327787:SRS327792 TBO327787:TBO327792 TLK327787:TLK327792 TVG327787:TVG327792 UFC327787:UFC327792 UOY327787:UOY327792 UYU327787:UYU327792 VIQ327787:VIQ327792 VSM327787:VSM327792 WCI327787:WCI327792 WME327787:WME327792 WWA327787:WWA327792 S393323:S393328 JO393323:JO393328 TK393323:TK393328 ADG393323:ADG393328 ANC393323:ANC393328 AWY393323:AWY393328 BGU393323:BGU393328 BQQ393323:BQQ393328 CAM393323:CAM393328 CKI393323:CKI393328 CUE393323:CUE393328 DEA393323:DEA393328 DNW393323:DNW393328 DXS393323:DXS393328 EHO393323:EHO393328 ERK393323:ERK393328 FBG393323:FBG393328 FLC393323:FLC393328 FUY393323:FUY393328 GEU393323:GEU393328 GOQ393323:GOQ393328 GYM393323:GYM393328 HII393323:HII393328 HSE393323:HSE393328 ICA393323:ICA393328 ILW393323:ILW393328 IVS393323:IVS393328 JFO393323:JFO393328 JPK393323:JPK393328 JZG393323:JZG393328 KJC393323:KJC393328 KSY393323:KSY393328 LCU393323:LCU393328 LMQ393323:LMQ393328 LWM393323:LWM393328 MGI393323:MGI393328 MQE393323:MQE393328 NAA393323:NAA393328 NJW393323:NJW393328 NTS393323:NTS393328 ODO393323:ODO393328 ONK393323:ONK393328 OXG393323:OXG393328 PHC393323:PHC393328 PQY393323:PQY393328 QAU393323:QAU393328 QKQ393323:QKQ393328 QUM393323:QUM393328 REI393323:REI393328 ROE393323:ROE393328 RYA393323:RYA393328 SHW393323:SHW393328 SRS393323:SRS393328 TBO393323:TBO393328 TLK393323:TLK393328 TVG393323:TVG393328 UFC393323:UFC393328 UOY393323:UOY393328 UYU393323:UYU393328 VIQ393323:VIQ393328 VSM393323:VSM393328 WCI393323:WCI393328 WME393323:WME393328 WWA393323:WWA393328 S458859:S458864 JO458859:JO458864 TK458859:TK458864 ADG458859:ADG458864 ANC458859:ANC458864 AWY458859:AWY458864 BGU458859:BGU458864 BQQ458859:BQQ458864 CAM458859:CAM458864 CKI458859:CKI458864 CUE458859:CUE458864 DEA458859:DEA458864 DNW458859:DNW458864 DXS458859:DXS458864 EHO458859:EHO458864 ERK458859:ERK458864 FBG458859:FBG458864 FLC458859:FLC458864 FUY458859:FUY458864 GEU458859:GEU458864 GOQ458859:GOQ458864 GYM458859:GYM458864 HII458859:HII458864 HSE458859:HSE458864 ICA458859:ICA458864 ILW458859:ILW458864 IVS458859:IVS458864 JFO458859:JFO458864 JPK458859:JPK458864 JZG458859:JZG458864 KJC458859:KJC458864 KSY458859:KSY458864 LCU458859:LCU458864 LMQ458859:LMQ458864 LWM458859:LWM458864 MGI458859:MGI458864 MQE458859:MQE458864 NAA458859:NAA458864 NJW458859:NJW458864 NTS458859:NTS458864 ODO458859:ODO458864 ONK458859:ONK458864 OXG458859:OXG458864 PHC458859:PHC458864 PQY458859:PQY458864 QAU458859:QAU458864 QKQ458859:QKQ458864 QUM458859:QUM458864 REI458859:REI458864 ROE458859:ROE458864 RYA458859:RYA458864 SHW458859:SHW458864 SRS458859:SRS458864 TBO458859:TBO458864 TLK458859:TLK458864 TVG458859:TVG458864 UFC458859:UFC458864 UOY458859:UOY458864 UYU458859:UYU458864 VIQ458859:VIQ458864 VSM458859:VSM458864 WCI458859:WCI458864 WME458859:WME458864 WWA458859:WWA458864 S524395:S524400 JO524395:JO524400 TK524395:TK524400 ADG524395:ADG524400 ANC524395:ANC524400 AWY524395:AWY524400 BGU524395:BGU524400 BQQ524395:BQQ524400 CAM524395:CAM524400 CKI524395:CKI524400 CUE524395:CUE524400 DEA524395:DEA524400 DNW524395:DNW524400 DXS524395:DXS524400 EHO524395:EHO524400 ERK524395:ERK524400 FBG524395:FBG524400 FLC524395:FLC524400 FUY524395:FUY524400 GEU524395:GEU524400 GOQ524395:GOQ524400 GYM524395:GYM524400 HII524395:HII524400 HSE524395:HSE524400 ICA524395:ICA524400 ILW524395:ILW524400 IVS524395:IVS524400 JFO524395:JFO524400 JPK524395:JPK524400 JZG524395:JZG524400 KJC524395:KJC524400 KSY524395:KSY524400 LCU524395:LCU524400 LMQ524395:LMQ524400 LWM524395:LWM524400 MGI524395:MGI524400 MQE524395:MQE524400 NAA524395:NAA524400 NJW524395:NJW524400 NTS524395:NTS524400 ODO524395:ODO524400 ONK524395:ONK524400 OXG524395:OXG524400 PHC524395:PHC524400 PQY524395:PQY524400 QAU524395:QAU524400 QKQ524395:QKQ524400 QUM524395:QUM524400 REI524395:REI524400 ROE524395:ROE524400 RYA524395:RYA524400 SHW524395:SHW524400 SRS524395:SRS524400 TBO524395:TBO524400 TLK524395:TLK524400 TVG524395:TVG524400 UFC524395:UFC524400 UOY524395:UOY524400 UYU524395:UYU524400 VIQ524395:VIQ524400 VSM524395:VSM524400 WCI524395:WCI524400 WME524395:WME524400 WWA524395:WWA524400 S589931:S589936 JO589931:JO589936 TK589931:TK589936 ADG589931:ADG589936 ANC589931:ANC589936 AWY589931:AWY589936 BGU589931:BGU589936 BQQ589931:BQQ589936 CAM589931:CAM589936 CKI589931:CKI589936 CUE589931:CUE589936 DEA589931:DEA589936 DNW589931:DNW589936 DXS589931:DXS589936 EHO589931:EHO589936 ERK589931:ERK589936 FBG589931:FBG589936 FLC589931:FLC589936 FUY589931:FUY589936 GEU589931:GEU589936 GOQ589931:GOQ589936 GYM589931:GYM589936 HII589931:HII589936 HSE589931:HSE589936 ICA589931:ICA589936 ILW589931:ILW589936 IVS589931:IVS589936 JFO589931:JFO589936 JPK589931:JPK589936 JZG589931:JZG589936 KJC589931:KJC589936 KSY589931:KSY589936 LCU589931:LCU589936 LMQ589931:LMQ589936 LWM589931:LWM589936 MGI589931:MGI589936 MQE589931:MQE589936 NAA589931:NAA589936 NJW589931:NJW589936 NTS589931:NTS589936 ODO589931:ODO589936 ONK589931:ONK589936 OXG589931:OXG589936 PHC589931:PHC589936 PQY589931:PQY589936 QAU589931:QAU589936 QKQ589931:QKQ589936 QUM589931:QUM589936 REI589931:REI589936 ROE589931:ROE589936 RYA589931:RYA589936 SHW589931:SHW589936 SRS589931:SRS589936 TBO589931:TBO589936 TLK589931:TLK589936 TVG589931:TVG589936 UFC589931:UFC589936 UOY589931:UOY589936 UYU589931:UYU589936 VIQ589931:VIQ589936 VSM589931:VSM589936 WCI589931:WCI589936 WME589931:WME589936 WWA589931:WWA589936 S655467:S655472 JO655467:JO655472 TK655467:TK655472 ADG655467:ADG655472 ANC655467:ANC655472 AWY655467:AWY655472 BGU655467:BGU655472 BQQ655467:BQQ655472 CAM655467:CAM655472 CKI655467:CKI655472 CUE655467:CUE655472 DEA655467:DEA655472 DNW655467:DNW655472 DXS655467:DXS655472 EHO655467:EHO655472 ERK655467:ERK655472 FBG655467:FBG655472 FLC655467:FLC655472 FUY655467:FUY655472 GEU655467:GEU655472 GOQ655467:GOQ655472 GYM655467:GYM655472 HII655467:HII655472 HSE655467:HSE655472 ICA655467:ICA655472 ILW655467:ILW655472 IVS655467:IVS655472 JFO655467:JFO655472 JPK655467:JPK655472 JZG655467:JZG655472 KJC655467:KJC655472 KSY655467:KSY655472 LCU655467:LCU655472 LMQ655467:LMQ655472 LWM655467:LWM655472 MGI655467:MGI655472 MQE655467:MQE655472 NAA655467:NAA655472 NJW655467:NJW655472 NTS655467:NTS655472 ODO655467:ODO655472 ONK655467:ONK655472 OXG655467:OXG655472 PHC655467:PHC655472 PQY655467:PQY655472 QAU655467:QAU655472 QKQ655467:QKQ655472 QUM655467:QUM655472 REI655467:REI655472 ROE655467:ROE655472 RYA655467:RYA655472 SHW655467:SHW655472 SRS655467:SRS655472 TBO655467:TBO655472 TLK655467:TLK655472 TVG655467:TVG655472 UFC655467:UFC655472 UOY655467:UOY655472 UYU655467:UYU655472 VIQ655467:VIQ655472 VSM655467:VSM655472 WCI655467:WCI655472 WME655467:WME655472 WWA655467:WWA655472 S721003:S721008 JO721003:JO721008 TK721003:TK721008 ADG721003:ADG721008 ANC721003:ANC721008 AWY721003:AWY721008 BGU721003:BGU721008 BQQ721003:BQQ721008 CAM721003:CAM721008 CKI721003:CKI721008 CUE721003:CUE721008 DEA721003:DEA721008 DNW721003:DNW721008 DXS721003:DXS721008 EHO721003:EHO721008 ERK721003:ERK721008 FBG721003:FBG721008 FLC721003:FLC721008 FUY721003:FUY721008 GEU721003:GEU721008 GOQ721003:GOQ721008 GYM721003:GYM721008 HII721003:HII721008 HSE721003:HSE721008 ICA721003:ICA721008 ILW721003:ILW721008 IVS721003:IVS721008 JFO721003:JFO721008 JPK721003:JPK721008 JZG721003:JZG721008 KJC721003:KJC721008 KSY721003:KSY721008 LCU721003:LCU721008 LMQ721003:LMQ721008 LWM721003:LWM721008 MGI721003:MGI721008 MQE721003:MQE721008 NAA721003:NAA721008 NJW721003:NJW721008 NTS721003:NTS721008 ODO721003:ODO721008 ONK721003:ONK721008 OXG721003:OXG721008 PHC721003:PHC721008 PQY721003:PQY721008 QAU721003:QAU721008 QKQ721003:QKQ721008 QUM721003:QUM721008 REI721003:REI721008 ROE721003:ROE721008 RYA721003:RYA721008 SHW721003:SHW721008 SRS721003:SRS721008 TBO721003:TBO721008 TLK721003:TLK721008 TVG721003:TVG721008 UFC721003:UFC721008 UOY721003:UOY721008 UYU721003:UYU721008 VIQ721003:VIQ721008 VSM721003:VSM721008 WCI721003:WCI721008 WME721003:WME721008 WWA721003:WWA721008 S786539:S786544 JO786539:JO786544 TK786539:TK786544 ADG786539:ADG786544 ANC786539:ANC786544 AWY786539:AWY786544 BGU786539:BGU786544 BQQ786539:BQQ786544 CAM786539:CAM786544 CKI786539:CKI786544 CUE786539:CUE786544 DEA786539:DEA786544 DNW786539:DNW786544 DXS786539:DXS786544 EHO786539:EHO786544 ERK786539:ERK786544 FBG786539:FBG786544 FLC786539:FLC786544 FUY786539:FUY786544 GEU786539:GEU786544 GOQ786539:GOQ786544 GYM786539:GYM786544 HII786539:HII786544 HSE786539:HSE786544 ICA786539:ICA786544 ILW786539:ILW786544 IVS786539:IVS786544 JFO786539:JFO786544 JPK786539:JPK786544 JZG786539:JZG786544 KJC786539:KJC786544 KSY786539:KSY786544 LCU786539:LCU786544 LMQ786539:LMQ786544 LWM786539:LWM786544 MGI786539:MGI786544 MQE786539:MQE786544 NAA786539:NAA786544 NJW786539:NJW786544 NTS786539:NTS786544 ODO786539:ODO786544 ONK786539:ONK786544 OXG786539:OXG786544 PHC786539:PHC786544 PQY786539:PQY786544 QAU786539:QAU786544 QKQ786539:QKQ786544 QUM786539:QUM786544 REI786539:REI786544 ROE786539:ROE786544 RYA786539:RYA786544 SHW786539:SHW786544 SRS786539:SRS786544 TBO786539:TBO786544 TLK786539:TLK786544 TVG786539:TVG786544 UFC786539:UFC786544 UOY786539:UOY786544 UYU786539:UYU786544 VIQ786539:VIQ786544 VSM786539:VSM786544 WCI786539:WCI786544 WME786539:WME786544 WWA786539:WWA786544 S852075:S852080 JO852075:JO852080 TK852075:TK852080 ADG852075:ADG852080 ANC852075:ANC852080 AWY852075:AWY852080 BGU852075:BGU852080 BQQ852075:BQQ852080 CAM852075:CAM852080 CKI852075:CKI852080 CUE852075:CUE852080 DEA852075:DEA852080 DNW852075:DNW852080 DXS852075:DXS852080 EHO852075:EHO852080 ERK852075:ERK852080 FBG852075:FBG852080 FLC852075:FLC852080 FUY852075:FUY852080 GEU852075:GEU852080 GOQ852075:GOQ852080 GYM852075:GYM852080 HII852075:HII852080 HSE852075:HSE852080 ICA852075:ICA852080 ILW852075:ILW852080 IVS852075:IVS852080 JFO852075:JFO852080 JPK852075:JPK852080 JZG852075:JZG852080 KJC852075:KJC852080 KSY852075:KSY852080 LCU852075:LCU852080 LMQ852075:LMQ852080 LWM852075:LWM852080 MGI852075:MGI852080 MQE852075:MQE852080 NAA852075:NAA852080 NJW852075:NJW852080 NTS852075:NTS852080 ODO852075:ODO852080 ONK852075:ONK852080 OXG852075:OXG852080 PHC852075:PHC852080 PQY852075:PQY852080 QAU852075:QAU852080 QKQ852075:QKQ852080 QUM852075:QUM852080 REI852075:REI852080 ROE852075:ROE852080 RYA852075:RYA852080 SHW852075:SHW852080 SRS852075:SRS852080 TBO852075:TBO852080 TLK852075:TLK852080 TVG852075:TVG852080 UFC852075:UFC852080 UOY852075:UOY852080 UYU852075:UYU852080 VIQ852075:VIQ852080 VSM852075:VSM852080 WCI852075:WCI852080 WME852075:WME852080 WWA852075:WWA852080 S917611:S917616 JO917611:JO917616 TK917611:TK917616 ADG917611:ADG917616 ANC917611:ANC917616 AWY917611:AWY917616 BGU917611:BGU917616 BQQ917611:BQQ917616 CAM917611:CAM917616 CKI917611:CKI917616 CUE917611:CUE917616 DEA917611:DEA917616 DNW917611:DNW917616 DXS917611:DXS917616 EHO917611:EHO917616 ERK917611:ERK917616 FBG917611:FBG917616 FLC917611:FLC917616 FUY917611:FUY917616 GEU917611:GEU917616 GOQ917611:GOQ917616 GYM917611:GYM917616 HII917611:HII917616 HSE917611:HSE917616 ICA917611:ICA917616 ILW917611:ILW917616 IVS917611:IVS917616 JFO917611:JFO917616 JPK917611:JPK917616 JZG917611:JZG917616 KJC917611:KJC917616 KSY917611:KSY917616 LCU917611:LCU917616 LMQ917611:LMQ917616 LWM917611:LWM917616 MGI917611:MGI917616 MQE917611:MQE917616 NAA917611:NAA917616 NJW917611:NJW917616 NTS917611:NTS917616 ODO917611:ODO917616 ONK917611:ONK917616 OXG917611:OXG917616 PHC917611:PHC917616 PQY917611:PQY917616 QAU917611:QAU917616 QKQ917611:QKQ917616 QUM917611:QUM917616 REI917611:REI917616 ROE917611:ROE917616 RYA917611:RYA917616 SHW917611:SHW917616 SRS917611:SRS917616 TBO917611:TBO917616 TLK917611:TLK917616 TVG917611:TVG917616 UFC917611:UFC917616 UOY917611:UOY917616 UYU917611:UYU917616 VIQ917611:VIQ917616 VSM917611:VSM917616 WCI917611:WCI917616 WME917611:WME917616 WWA917611:WWA917616 S983147:S983152 JO983147:JO983152 TK983147:TK983152 ADG983147:ADG983152 ANC983147:ANC983152 AWY983147:AWY983152 BGU983147:BGU983152 BQQ983147:BQQ983152 CAM983147:CAM983152 CKI983147:CKI983152 CUE983147:CUE983152 DEA983147:DEA983152 DNW983147:DNW983152 DXS983147:DXS983152 EHO983147:EHO983152 ERK983147:ERK983152 FBG983147:FBG983152 FLC983147:FLC983152 FUY983147:FUY983152 GEU983147:GEU983152 GOQ983147:GOQ983152 GYM983147:GYM983152 HII983147:HII983152 HSE983147:HSE983152 ICA983147:ICA983152 ILW983147:ILW983152 IVS983147:IVS983152 JFO983147:JFO983152 JPK983147:JPK983152 JZG983147:JZG983152 KJC983147:KJC983152 KSY983147:KSY983152 LCU983147:LCU983152 LMQ983147:LMQ983152 LWM983147:LWM983152 MGI983147:MGI983152 MQE983147:MQE983152 NAA983147:NAA983152 NJW983147:NJW983152 NTS983147:NTS983152 ODO983147:ODO983152 ONK983147:ONK983152 OXG983147:OXG983152 PHC983147:PHC983152 PQY983147:PQY983152 QAU983147:QAU983152 QKQ983147:QKQ983152 QUM983147:QUM983152 REI983147:REI983152 ROE983147:ROE983152 RYA983147:RYA983152 SHW983147:SHW983152 SRS983147:SRS983152 TBO983147:TBO983152 TLK983147:TLK983152 TVG983147:TVG983152 UFC983147:UFC983152 UOY983147:UOY983152 UYU983147:UYU983152 VIQ983147:VIQ983152 VSM983147:VSM983152 WCI983147:WCI983152 WME983147:WME983152 WWA983147:WWA983152">
      <formula1>0</formula1>
      <formula2>1</formula2>
    </dataValidation>
  </dataValidations>
  <printOptions horizontalCentered="1"/>
  <pageMargins left="0.51181102362204722" right="0.51181102362204722" top="1.7716535433070868" bottom="0.78740157480314965" header="0.31496062992125984" footer="0.31496062992125984"/>
  <pageSetup paperSize="9" scale="84" orientation="portrait" verticalDpi="0" r:id="rId1"/>
  <headerFooter>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dimension ref="A1:H253"/>
  <sheetViews>
    <sheetView workbookViewId="0">
      <selection activeCell="J13" sqref="J13"/>
    </sheetView>
  </sheetViews>
  <sheetFormatPr defaultColWidth="9.140625" defaultRowHeight="15"/>
  <cols>
    <col min="1" max="1" width="11.42578125" style="39" bestFit="1" customWidth="1"/>
    <col min="2" max="2" width="13.28515625" style="39" bestFit="1" customWidth="1"/>
    <col min="3" max="3" width="7.42578125" style="39" bestFit="1" customWidth="1"/>
    <col min="4" max="4" width="68.5703125" style="39" bestFit="1" customWidth="1"/>
    <col min="5" max="5" width="7.7109375" style="39" bestFit="1" customWidth="1"/>
    <col min="6" max="6" width="13.28515625" style="39" bestFit="1" customWidth="1"/>
    <col min="7" max="8" width="14.28515625" style="39" bestFit="1" customWidth="1"/>
    <col min="9" max="9" width="16" style="39" bestFit="1" customWidth="1"/>
    <col min="10" max="16384" width="9.140625" style="39"/>
  </cols>
  <sheetData>
    <row r="1" spans="1:8">
      <c r="A1" s="270"/>
      <c r="B1" s="270"/>
      <c r="C1" s="270"/>
      <c r="D1" s="270"/>
      <c r="E1" s="466"/>
      <c r="F1" s="466"/>
      <c r="G1" s="466"/>
      <c r="H1" s="467"/>
    </row>
    <row r="2" spans="1:8" ht="18">
      <c r="A2" s="552" t="s">
        <v>328</v>
      </c>
      <c r="B2" s="552"/>
      <c r="C2" s="552"/>
      <c r="D2" s="552"/>
      <c r="E2" s="552"/>
      <c r="F2" s="552"/>
      <c r="G2" s="552"/>
      <c r="H2" s="552"/>
    </row>
    <row r="3" spans="1:8" s="76" customFormat="1" ht="12.75">
      <c r="A3" s="468"/>
      <c r="B3" s="468"/>
      <c r="C3" s="468"/>
      <c r="D3" s="468"/>
      <c r="E3" s="469"/>
      <c r="F3" s="469"/>
      <c r="G3" s="469"/>
      <c r="H3" s="237"/>
    </row>
    <row r="4" spans="1:8" s="470" customFormat="1" ht="12.75">
      <c r="A4" s="489" t="s">
        <v>1012</v>
      </c>
      <c r="B4" s="271"/>
      <c r="C4" s="240"/>
      <c r="D4" s="240"/>
      <c r="E4" s="490" t="s">
        <v>1166</v>
      </c>
      <c r="F4" s="471"/>
      <c r="G4" s="471"/>
      <c r="H4" s="472"/>
    </row>
    <row r="5" spans="1:8" s="470" customFormat="1" ht="12.75">
      <c r="A5" s="489" t="s">
        <v>1013</v>
      </c>
      <c r="B5" s="271"/>
      <c r="C5" s="271"/>
      <c r="D5" s="245"/>
      <c r="E5" s="490" t="s">
        <v>1167</v>
      </c>
      <c r="F5" s="408"/>
      <c r="G5" s="408"/>
      <c r="H5" s="472"/>
    </row>
    <row r="6" spans="1:8" s="470" customFormat="1" ht="12.75">
      <c r="A6" s="489" t="s">
        <v>1396</v>
      </c>
      <c r="B6" s="271"/>
      <c r="C6" s="240"/>
      <c r="D6" s="245"/>
      <c r="E6" s="490" t="s">
        <v>1014</v>
      </c>
      <c r="F6" s="408"/>
      <c r="G6" s="469"/>
      <c r="H6" s="472"/>
    </row>
    <row r="7" spans="1:8" s="470" customFormat="1" ht="12.75">
      <c r="A7" s="489" t="s">
        <v>1940</v>
      </c>
      <c r="B7" s="271"/>
      <c r="C7" s="240"/>
      <c r="D7" s="245"/>
      <c r="E7" s="246" t="s">
        <v>1397</v>
      </c>
      <c r="F7" s="408"/>
      <c r="H7" s="472"/>
    </row>
    <row r="8" spans="1:8" ht="15.75" thickBot="1">
      <c r="A8" s="473"/>
      <c r="B8" s="474"/>
      <c r="C8" s="474"/>
      <c r="D8" s="474"/>
      <c r="E8" s="474"/>
      <c r="F8" s="474"/>
      <c r="G8" s="474"/>
      <c r="H8" s="474"/>
    </row>
    <row r="9" spans="1:8">
      <c r="A9" s="406" t="s">
        <v>535</v>
      </c>
      <c r="B9" s="562" t="s">
        <v>536</v>
      </c>
      <c r="C9" s="562" t="s">
        <v>537</v>
      </c>
      <c r="D9" s="562" t="s">
        <v>538</v>
      </c>
      <c r="E9" s="562" t="s">
        <v>539</v>
      </c>
      <c r="F9" s="562" t="s">
        <v>540</v>
      </c>
      <c r="G9" s="562" t="s">
        <v>1016</v>
      </c>
      <c r="H9" s="562" t="s">
        <v>542</v>
      </c>
    </row>
    <row r="10" spans="1:8">
      <c r="A10" s="407" t="s">
        <v>545</v>
      </c>
      <c r="B10" s="563"/>
      <c r="C10" s="563"/>
      <c r="D10" s="563"/>
      <c r="E10" s="563"/>
      <c r="F10" s="563"/>
      <c r="G10" s="563"/>
      <c r="H10" s="563"/>
    </row>
    <row r="11" spans="1:8">
      <c r="A11" s="250" t="s">
        <v>1017</v>
      </c>
      <c r="B11" s="250" t="s">
        <v>1538</v>
      </c>
      <c r="C11" s="250" t="s">
        <v>546</v>
      </c>
      <c r="D11" s="249" t="s">
        <v>547</v>
      </c>
      <c r="E11" s="250" t="s">
        <v>441</v>
      </c>
      <c r="F11" s="475">
        <v>1</v>
      </c>
      <c r="G11" s="487">
        <v>68375.039999999994</v>
      </c>
      <c r="H11" s="487">
        <v>68375.039999999994</v>
      </c>
    </row>
    <row r="12" spans="1:8" s="477" customFormat="1" ht="25.5">
      <c r="A12" s="252" t="s">
        <v>1018</v>
      </c>
      <c r="B12" s="252" t="s">
        <v>1019</v>
      </c>
      <c r="C12" s="252" t="s">
        <v>9</v>
      </c>
      <c r="D12" s="251" t="s">
        <v>1020</v>
      </c>
      <c r="E12" s="252" t="s">
        <v>225</v>
      </c>
      <c r="F12" s="476">
        <v>256</v>
      </c>
      <c r="G12" s="488">
        <v>101.04</v>
      </c>
      <c r="H12" s="488">
        <v>25866.240000000002</v>
      </c>
    </row>
    <row r="13" spans="1:8" s="477" customFormat="1" ht="25.5">
      <c r="A13" s="252" t="s">
        <v>1018</v>
      </c>
      <c r="B13" s="252" t="s">
        <v>1593</v>
      </c>
      <c r="C13" s="252" t="s">
        <v>9</v>
      </c>
      <c r="D13" s="251" t="s">
        <v>1529</v>
      </c>
      <c r="E13" s="252" t="s">
        <v>225</v>
      </c>
      <c r="F13" s="476">
        <v>1280</v>
      </c>
      <c r="G13" s="488">
        <v>33.21</v>
      </c>
      <c r="H13" s="488">
        <v>42508.800000000003</v>
      </c>
    </row>
    <row r="14" spans="1:8" s="479" customFormat="1">
      <c r="A14" s="237"/>
      <c r="B14" s="237"/>
      <c r="C14" s="237"/>
      <c r="D14" s="237"/>
      <c r="E14" s="237"/>
      <c r="F14" s="566" t="s">
        <v>1022</v>
      </c>
      <c r="G14" s="566"/>
      <c r="H14" s="478">
        <v>18242.46</v>
      </c>
    </row>
    <row r="15" spans="1:8" s="479" customFormat="1" ht="15.75" thickBot="1">
      <c r="A15" s="265"/>
      <c r="B15" s="265"/>
      <c r="C15" s="265"/>
      <c r="D15" s="265"/>
      <c r="E15" s="265"/>
      <c r="F15" s="571" t="s">
        <v>1023</v>
      </c>
      <c r="G15" s="571"/>
      <c r="H15" s="480">
        <v>86617.5</v>
      </c>
    </row>
    <row r="16" spans="1:8">
      <c r="A16" s="406" t="s">
        <v>535</v>
      </c>
      <c r="B16" s="562" t="s">
        <v>536</v>
      </c>
      <c r="C16" s="562" t="s">
        <v>537</v>
      </c>
      <c r="D16" s="562" t="s">
        <v>538</v>
      </c>
      <c r="E16" s="562" t="s">
        <v>539</v>
      </c>
      <c r="F16" s="562" t="s">
        <v>540</v>
      </c>
      <c r="G16" s="562" t="s">
        <v>1016</v>
      </c>
      <c r="H16" s="562" t="s">
        <v>542</v>
      </c>
    </row>
    <row r="17" spans="1:8">
      <c r="A17" s="264"/>
      <c r="B17" s="563"/>
      <c r="C17" s="563"/>
      <c r="D17" s="563"/>
      <c r="E17" s="563"/>
      <c r="F17" s="563"/>
      <c r="G17" s="563"/>
      <c r="H17" s="563"/>
    </row>
    <row r="18" spans="1:8">
      <c r="A18" s="407" t="s">
        <v>557</v>
      </c>
      <c r="B18" s="563"/>
      <c r="C18" s="563"/>
      <c r="D18" s="563"/>
      <c r="E18" s="563"/>
      <c r="F18" s="563"/>
      <c r="G18" s="563"/>
      <c r="H18" s="563"/>
    </row>
    <row r="19" spans="1:8">
      <c r="A19" s="250" t="s">
        <v>1017</v>
      </c>
      <c r="B19" s="250" t="s">
        <v>558</v>
      </c>
      <c r="C19" s="250" t="s">
        <v>546</v>
      </c>
      <c r="D19" s="249" t="s">
        <v>559</v>
      </c>
      <c r="E19" s="250" t="s">
        <v>208</v>
      </c>
      <c r="F19" s="475">
        <v>1</v>
      </c>
      <c r="G19" s="487">
        <v>557.57000000000005</v>
      </c>
      <c r="H19" s="487">
        <v>557.57000000000005</v>
      </c>
    </row>
    <row r="20" spans="1:8" s="477" customFormat="1" ht="25.5">
      <c r="A20" s="252" t="s">
        <v>1018</v>
      </c>
      <c r="B20" s="252" t="s">
        <v>1024</v>
      </c>
      <c r="C20" s="252" t="s">
        <v>9</v>
      </c>
      <c r="D20" s="251" t="s">
        <v>206</v>
      </c>
      <c r="E20" s="252" t="s">
        <v>225</v>
      </c>
      <c r="F20" s="476">
        <v>1</v>
      </c>
      <c r="G20" s="488">
        <v>21.79</v>
      </c>
      <c r="H20" s="488">
        <v>21.79</v>
      </c>
    </row>
    <row r="21" spans="1:8" s="477" customFormat="1" ht="25.5">
      <c r="A21" s="252" t="s">
        <v>1018</v>
      </c>
      <c r="B21" s="252" t="s">
        <v>1025</v>
      </c>
      <c r="C21" s="252" t="s">
        <v>9</v>
      </c>
      <c r="D21" s="251" t="s">
        <v>211</v>
      </c>
      <c r="E21" s="252" t="s">
        <v>225</v>
      </c>
      <c r="F21" s="476">
        <v>2</v>
      </c>
      <c r="G21" s="488">
        <v>17.829999999999998</v>
      </c>
      <c r="H21" s="488">
        <v>35.659999999999997</v>
      </c>
    </row>
    <row r="22" spans="1:8" s="477" customFormat="1" ht="38.25">
      <c r="A22" s="252" t="s">
        <v>1018</v>
      </c>
      <c r="B22" s="252" t="s">
        <v>1026</v>
      </c>
      <c r="C22" s="252" t="s">
        <v>9</v>
      </c>
      <c r="D22" s="251" t="s">
        <v>1027</v>
      </c>
      <c r="E22" s="252" t="s">
        <v>15</v>
      </c>
      <c r="F22" s="476">
        <v>0.01</v>
      </c>
      <c r="G22" s="488">
        <v>374.49</v>
      </c>
      <c r="H22" s="488">
        <v>3.74</v>
      </c>
    </row>
    <row r="23" spans="1:8" s="477" customFormat="1" ht="25.5">
      <c r="A23" s="252" t="s">
        <v>1028</v>
      </c>
      <c r="B23" s="252" t="s">
        <v>1029</v>
      </c>
      <c r="C23" s="252" t="s">
        <v>9</v>
      </c>
      <c r="D23" s="251" t="s">
        <v>1030</v>
      </c>
      <c r="E23" s="252" t="s">
        <v>210</v>
      </c>
      <c r="F23" s="476">
        <v>1</v>
      </c>
      <c r="G23" s="488">
        <v>6.12</v>
      </c>
      <c r="H23" s="488">
        <v>6.12</v>
      </c>
    </row>
    <row r="24" spans="1:8" s="477" customFormat="1" ht="25.5">
      <c r="A24" s="252" t="s">
        <v>1028</v>
      </c>
      <c r="B24" s="252" t="s">
        <v>1031</v>
      </c>
      <c r="C24" s="252" t="s">
        <v>9</v>
      </c>
      <c r="D24" s="251" t="s">
        <v>1032</v>
      </c>
      <c r="E24" s="252" t="s">
        <v>210</v>
      </c>
      <c r="F24" s="476">
        <v>4</v>
      </c>
      <c r="G24" s="488">
        <v>10.7</v>
      </c>
      <c r="H24" s="488">
        <v>42.8</v>
      </c>
    </row>
    <row r="25" spans="1:8" s="477" customFormat="1" ht="25.5">
      <c r="A25" s="252" t="s">
        <v>1028</v>
      </c>
      <c r="B25" s="252" t="s">
        <v>1033</v>
      </c>
      <c r="C25" s="252" t="s">
        <v>9</v>
      </c>
      <c r="D25" s="251" t="s">
        <v>1034</v>
      </c>
      <c r="E25" s="252" t="s">
        <v>10</v>
      </c>
      <c r="F25" s="476">
        <v>1</v>
      </c>
      <c r="G25" s="488">
        <v>445</v>
      </c>
      <c r="H25" s="488">
        <v>445</v>
      </c>
    </row>
    <row r="26" spans="1:8" s="477" customFormat="1">
      <c r="A26" s="252" t="s">
        <v>1028</v>
      </c>
      <c r="B26" s="252" t="s">
        <v>1035</v>
      </c>
      <c r="C26" s="252" t="s">
        <v>9</v>
      </c>
      <c r="D26" s="251" t="s">
        <v>1036</v>
      </c>
      <c r="E26" s="252" t="s">
        <v>209</v>
      </c>
      <c r="F26" s="476">
        <v>0.11</v>
      </c>
      <c r="G26" s="488">
        <v>22.38</v>
      </c>
      <c r="H26" s="488">
        <v>2.46</v>
      </c>
    </row>
    <row r="27" spans="1:8" s="479" customFormat="1">
      <c r="A27" s="237"/>
      <c r="B27" s="237"/>
      <c r="C27" s="237"/>
      <c r="D27" s="237"/>
      <c r="E27" s="237"/>
      <c r="F27" s="566" t="s">
        <v>1022</v>
      </c>
      <c r="G27" s="566"/>
      <c r="H27" s="478">
        <v>148.75</v>
      </c>
    </row>
    <row r="28" spans="1:8" s="479" customFormat="1" ht="15.75" thickBot="1">
      <c r="A28" s="237"/>
      <c r="B28" s="237"/>
      <c r="C28" s="237"/>
      <c r="D28" s="237"/>
      <c r="E28" s="237"/>
      <c r="F28" s="565" t="s">
        <v>1023</v>
      </c>
      <c r="G28" s="565"/>
      <c r="H28" s="478">
        <v>706.32</v>
      </c>
    </row>
    <row r="29" spans="1:8" ht="15.75" thickTop="1">
      <c r="A29" s="254"/>
      <c r="B29" s="254"/>
      <c r="C29" s="254"/>
      <c r="D29" s="254"/>
      <c r="E29" s="254"/>
      <c r="F29" s="254"/>
      <c r="G29" s="254"/>
      <c r="H29" s="254"/>
    </row>
    <row r="30" spans="1:8">
      <c r="A30" s="407" t="s">
        <v>535</v>
      </c>
      <c r="B30" s="562" t="s">
        <v>536</v>
      </c>
      <c r="C30" s="562" t="s">
        <v>537</v>
      </c>
      <c r="D30" s="562" t="s">
        <v>538</v>
      </c>
      <c r="E30" s="562" t="s">
        <v>539</v>
      </c>
      <c r="F30" s="562" t="s">
        <v>540</v>
      </c>
      <c r="G30" s="562" t="s">
        <v>1016</v>
      </c>
      <c r="H30" s="562" t="s">
        <v>542</v>
      </c>
    </row>
    <row r="31" spans="1:8">
      <c r="A31" s="407" t="s">
        <v>563</v>
      </c>
      <c r="B31" s="563"/>
      <c r="C31" s="563"/>
      <c r="D31" s="563"/>
      <c r="E31" s="563"/>
      <c r="F31" s="563"/>
      <c r="G31" s="563"/>
      <c r="H31" s="563"/>
    </row>
    <row r="32" spans="1:8">
      <c r="A32" s="250" t="s">
        <v>1017</v>
      </c>
      <c r="B32" s="250" t="s">
        <v>564</v>
      </c>
      <c r="C32" s="250" t="s">
        <v>546</v>
      </c>
      <c r="D32" s="249" t="s">
        <v>565</v>
      </c>
      <c r="E32" s="250" t="s">
        <v>441</v>
      </c>
      <c r="F32" s="475">
        <v>1</v>
      </c>
      <c r="G32" s="487">
        <v>1538.72</v>
      </c>
      <c r="H32" s="487">
        <v>1538.72</v>
      </c>
    </row>
    <row r="33" spans="1:8" s="477" customFormat="1" ht="38.25">
      <c r="A33" s="252" t="s">
        <v>1028</v>
      </c>
      <c r="B33" s="252" t="s">
        <v>1037</v>
      </c>
      <c r="C33" s="252" t="s">
        <v>9</v>
      </c>
      <c r="D33" s="251" t="s">
        <v>1038</v>
      </c>
      <c r="E33" s="252" t="s">
        <v>448</v>
      </c>
      <c r="F33" s="476">
        <v>1</v>
      </c>
      <c r="G33" s="488">
        <v>419.81</v>
      </c>
      <c r="H33" s="488">
        <v>419.81</v>
      </c>
    </row>
    <row r="34" spans="1:8" s="477" customFormat="1" ht="25.5">
      <c r="A34" s="252" t="s">
        <v>1028</v>
      </c>
      <c r="B34" s="252" t="s">
        <v>1039</v>
      </c>
      <c r="C34" s="252" t="s">
        <v>9</v>
      </c>
      <c r="D34" s="251" t="s">
        <v>1040</v>
      </c>
      <c r="E34" s="252" t="s">
        <v>448</v>
      </c>
      <c r="F34" s="476">
        <v>1</v>
      </c>
      <c r="G34" s="488">
        <v>689.45</v>
      </c>
      <c r="H34" s="488">
        <v>689.45</v>
      </c>
    </row>
    <row r="35" spans="1:8" s="477" customFormat="1">
      <c r="A35" s="252" t="s">
        <v>1028</v>
      </c>
      <c r="B35" s="252" t="s">
        <v>1041</v>
      </c>
      <c r="C35" s="252" t="s">
        <v>9</v>
      </c>
      <c r="D35" s="251" t="s">
        <v>1042</v>
      </c>
      <c r="E35" s="252" t="s">
        <v>448</v>
      </c>
      <c r="F35" s="476">
        <v>1</v>
      </c>
      <c r="G35" s="488">
        <v>90.02</v>
      </c>
      <c r="H35" s="488">
        <v>90.02</v>
      </c>
    </row>
    <row r="36" spans="1:8" s="477" customFormat="1" ht="25.5">
      <c r="A36" s="252" t="s">
        <v>1028</v>
      </c>
      <c r="B36" s="252" t="s">
        <v>1043</v>
      </c>
      <c r="C36" s="252" t="s">
        <v>9</v>
      </c>
      <c r="D36" s="251" t="s">
        <v>1044</v>
      </c>
      <c r="E36" s="252" t="s">
        <v>448</v>
      </c>
      <c r="F36" s="476">
        <v>1</v>
      </c>
      <c r="G36" s="488">
        <v>93.82</v>
      </c>
      <c r="H36" s="488">
        <v>93.82</v>
      </c>
    </row>
    <row r="37" spans="1:8" s="477" customFormat="1">
      <c r="A37" s="252" t="s">
        <v>1028</v>
      </c>
      <c r="B37" s="252" t="s">
        <v>1045</v>
      </c>
      <c r="C37" s="252" t="s">
        <v>9</v>
      </c>
      <c r="D37" s="251" t="s">
        <v>1046</v>
      </c>
      <c r="E37" s="252" t="s">
        <v>448</v>
      </c>
      <c r="F37" s="476">
        <v>2</v>
      </c>
      <c r="G37" s="488">
        <v>1.18</v>
      </c>
      <c r="H37" s="488">
        <v>2.36</v>
      </c>
    </row>
    <row r="38" spans="1:8" s="477" customFormat="1">
      <c r="A38" s="252" t="s">
        <v>1028</v>
      </c>
      <c r="B38" s="252" t="s">
        <v>1047</v>
      </c>
      <c r="C38" s="252" t="s">
        <v>9</v>
      </c>
      <c r="D38" s="251" t="s">
        <v>1048</v>
      </c>
      <c r="E38" s="252" t="s">
        <v>210</v>
      </c>
      <c r="F38" s="476">
        <v>2</v>
      </c>
      <c r="G38" s="488">
        <v>8.3699999999999992</v>
      </c>
      <c r="H38" s="488">
        <v>16.739999999999998</v>
      </c>
    </row>
    <row r="39" spans="1:8" s="477" customFormat="1" ht="25.5">
      <c r="A39" s="252" t="s">
        <v>1028</v>
      </c>
      <c r="B39" s="252" t="s">
        <v>1049</v>
      </c>
      <c r="C39" s="252" t="s">
        <v>9</v>
      </c>
      <c r="D39" s="251" t="s">
        <v>1050</v>
      </c>
      <c r="E39" s="252" t="s">
        <v>448</v>
      </c>
      <c r="F39" s="476">
        <v>2</v>
      </c>
      <c r="G39" s="488">
        <v>3.6</v>
      </c>
      <c r="H39" s="488">
        <v>7.2</v>
      </c>
    </row>
    <row r="40" spans="1:8" s="477" customFormat="1" ht="25.5">
      <c r="A40" s="252" t="s">
        <v>1028</v>
      </c>
      <c r="B40" s="252" t="s">
        <v>1051</v>
      </c>
      <c r="C40" s="252" t="s">
        <v>9</v>
      </c>
      <c r="D40" s="251" t="s">
        <v>1052</v>
      </c>
      <c r="E40" s="252" t="s">
        <v>448</v>
      </c>
      <c r="F40" s="476">
        <v>4</v>
      </c>
      <c r="G40" s="488">
        <v>7.03</v>
      </c>
      <c r="H40" s="488">
        <v>28.12</v>
      </c>
    </row>
    <row r="41" spans="1:8" s="477" customFormat="1" ht="25.5">
      <c r="A41" s="252" t="s">
        <v>1028</v>
      </c>
      <c r="B41" s="252" t="s">
        <v>1053</v>
      </c>
      <c r="C41" s="252" t="s">
        <v>9</v>
      </c>
      <c r="D41" s="251" t="s">
        <v>1054</v>
      </c>
      <c r="E41" s="252" t="s">
        <v>210</v>
      </c>
      <c r="F41" s="476">
        <v>20</v>
      </c>
      <c r="G41" s="488">
        <v>9.56</v>
      </c>
      <c r="H41" s="488">
        <v>191.2</v>
      </c>
    </row>
    <row r="42" spans="1:8" s="479" customFormat="1">
      <c r="A42" s="237"/>
      <c r="B42" s="237"/>
      <c r="C42" s="237"/>
      <c r="D42" s="237"/>
      <c r="E42" s="237"/>
      <c r="F42" s="566" t="s">
        <v>1022</v>
      </c>
      <c r="G42" s="566"/>
      <c r="H42" s="478">
        <v>410.53</v>
      </c>
    </row>
    <row r="43" spans="1:8" s="479" customFormat="1" ht="15.75" thickBot="1">
      <c r="A43" s="237"/>
      <c r="B43" s="237"/>
      <c r="C43" s="237"/>
      <c r="D43" s="237"/>
      <c r="E43" s="237"/>
      <c r="F43" s="565" t="s">
        <v>1023</v>
      </c>
      <c r="G43" s="565"/>
      <c r="H43" s="478">
        <v>1949.25</v>
      </c>
    </row>
    <row r="44" spans="1:8" ht="15.75" thickTop="1">
      <c r="A44" s="407" t="s">
        <v>535</v>
      </c>
      <c r="B44" s="564" t="s">
        <v>536</v>
      </c>
      <c r="C44" s="564" t="s">
        <v>537</v>
      </c>
      <c r="D44" s="564" t="s">
        <v>538</v>
      </c>
      <c r="E44" s="564" t="s">
        <v>539</v>
      </c>
      <c r="F44" s="564" t="s">
        <v>540</v>
      </c>
      <c r="G44" s="564" t="s">
        <v>1016</v>
      </c>
      <c r="H44" s="564" t="s">
        <v>542</v>
      </c>
    </row>
    <row r="45" spans="1:8">
      <c r="A45" s="264"/>
      <c r="B45" s="563"/>
      <c r="C45" s="563"/>
      <c r="D45" s="563"/>
      <c r="E45" s="563"/>
      <c r="F45" s="563"/>
      <c r="G45" s="563"/>
      <c r="H45" s="563"/>
    </row>
    <row r="46" spans="1:8">
      <c r="A46" s="407" t="s">
        <v>568</v>
      </c>
      <c r="B46" s="563"/>
      <c r="C46" s="563"/>
      <c r="D46" s="563"/>
      <c r="E46" s="563"/>
      <c r="F46" s="563"/>
      <c r="G46" s="563"/>
      <c r="H46" s="563"/>
    </row>
    <row r="47" spans="1:8" ht="25.5">
      <c r="A47" s="250" t="s">
        <v>1017</v>
      </c>
      <c r="B47" s="250" t="s">
        <v>1548</v>
      </c>
      <c r="C47" s="250" t="s">
        <v>546</v>
      </c>
      <c r="D47" s="249" t="s">
        <v>569</v>
      </c>
      <c r="E47" s="250" t="s">
        <v>400</v>
      </c>
      <c r="F47" s="475">
        <v>1</v>
      </c>
      <c r="G47" s="487">
        <v>126.21</v>
      </c>
      <c r="H47" s="487">
        <v>126.21</v>
      </c>
    </row>
    <row r="48" spans="1:8" s="477" customFormat="1" ht="25.5">
      <c r="A48" s="252" t="s">
        <v>1018</v>
      </c>
      <c r="B48" s="252" t="s">
        <v>1025</v>
      </c>
      <c r="C48" s="252" t="s">
        <v>9</v>
      </c>
      <c r="D48" s="251" t="s">
        <v>211</v>
      </c>
      <c r="E48" s="252" t="s">
        <v>225</v>
      </c>
      <c r="F48" s="476">
        <v>0.65900000000000003</v>
      </c>
      <c r="G48" s="488">
        <v>17.829999999999998</v>
      </c>
      <c r="H48" s="488">
        <v>11.74</v>
      </c>
    </row>
    <row r="49" spans="1:8" s="477" customFormat="1" ht="51">
      <c r="A49" s="252" t="s">
        <v>1018</v>
      </c>
      <c r="B49" s="252" t="s">
        <v>1055</v>
      </c>
      <c r="C49" s="252" t="s">
        <v>9</v>
      </c>
      <c r="D49" s="251" t="s">
        <v>1056</v>
      </c>
      <c r="E49" s="252" t="s">
        <v>481</v>
      </c>
      <c r="F49" s="476">
        <v>6.0000000000000001E-3</v>
      </c>
      <c r="G49" s="488">
        <v>347.31</v>
      </c>
      <c r="H49" s="488">
        <v>2.08</v>
      </c>
    </row>
    <row r="50" spans="1:8" s="477" customFormat="1" ht="51">
      <c r="A50" s="252" t="s">
        <v>1018</v>
      </c>
      <c r="B50" s="252" t="s">
        <v>1057</v>
      </c>
      <c r="C50" s="252" t="s">
        <v>9</v>
      </c>
      <c r="D50" s="251" t="s">
        <v>1058</v>
      </c>
      <c r="E50" s="252" t="s">
        <v>482</v>
      </c>
      <c r="F50" s="476">
        <v>3.0000000000000001E-3</v>
      </c>
      <c r="G50" s="488">
        <v>69.150000000000006</v>
      </c>
      <c r="H50" s="488">
        <v>0.2</v>
      </c>
    </row>
    <row r="51" spans="1:8" s="477" customFormat="1" ht="25.5">
      <c r="A51" s="252" t="s">
        <v>1018</v>
      </c>
      <c r="B51" s="252" t="s">
        <v>1059</v>
      </c>
      <c r="C51" s="252" t="s">
        <v>9</v>
      </c>
      <c r="D51" s="251" t="s">
        <v>1060</v>
      </c>
      <c r="E51" s="252" t="s">
        <v>481</v>
      </c>
      <c r="F51" s="476">
        <v>0.27400000000000002</v>
      </c>
      <c r="G51" s="488">
        <v>36.06</v>
      </c>
      <c r="H51" s="488">
        <v>9.8800000000000008</v>
      </c>
    </row>
    <row r="52" spans="1:8" s="477" customFormat="1" ht="25.5">
      <c r="A52" s="252" t="s">
        <v>1018</v>
      </c>
      <c r="B52" s="252" t="s">
        <v>1061</v>
      </c>
      <c r="C52" s="252" t="s">
        <v>9</v>
      </c>
      <c r="D52" s="251" t="s">
        <v>1062</v>
      </c>
      <c r="E52" s="252" t="s">
        <v>482</v>
      </c>
      <c r="F52" s="476">
        <v>0.254</v>
      </c>
      <c r="G52" s="488">
        <v>29.45</v>
      </c>
      <c r="H52" s="488">
        <v>7.48</v>
      </c>
    </row>
    <row r="53" spans="1:8" s="477" customFormat="1" ht="25.5">
      <c r="A53" s="252" t="s">
        <v>1028</v>
      </c>
      <c r="B53" s="252" t="s">
        <v>1063</v>
      </c>
      <c r="C53" s="252" t="s">
        <v>9</v>
      </c>
      <c r="D53" s="251" t="s">
        <v>1064</v>
      </c>
      <c r="E53" s="252" t="s">
        <v>15</v>
      </c>
      <c r="F53" s="476">
        <v>1.25</v>
      </c>
      <c r="G53" s="488">
        <v>75.87</v>
      </c>
      <c r="H53" s="488">
        <v>94.83</v>
      </c>
    </row>
    <row r="54" spans="1:8" s="479" customFormat="1">
      <c r="A54" s="237"/>
      <c r="B54" s="237"/>
      <c r="C54" s="237"/>
      <c r="D54" s="237"/>
      <c r="E54" s="237"/>
      <c r="F54" s="566" t="s">
        <v>1022</v>
      </c>
      <c r="G54" s="566"/>
      <c r="H54" s="478">
        <v>33.67</v>
      </c>
    </row>
    <row r="55" spans="1:8" s="479" customFormat="1" ht="15.75" thickBot="1">
      <c r="A55" s="237"/>
      <c r="B55" s="237"/>
      <c r="C55" s="237"/>
      <c r="D55" s="237"/>
      <c r="E55" s="237"/>
      <c r="F55" s="565" t="s">
        <v>1023</v>
      </c>
      <c r="G55" s="565"/>
      <c r="H55" s="478">
        <v>159.88</v>
      </c>
    </row>
    <row r="56" spans="1:8" ht="15.75" thickTop="1">
      <c r="A56" s="254"/>
      <c r="B56" s="254"/>
      <c r="C56" s="254"/>
      <c r="D56" s="254"/>
      <c r="E56" s="254"/>
      <c r="F56" s="254"/>
      <c r="G56" s="254"/>
      <c r="H56" s="254"/>
    </row>
    <row r="57" spans="1:8">
      <c r="A57" s="407" t="s">
        <v>535</v>
      </c>
      <c r="B57" s="562" t="s">
        <v>536</v>
      </c>
      <c r="C57" s="562" t="s">
        <v>537</v>
      </c>
      <c r="D57" s="562" t="s">
        <v>538</v>
      </c>
      <c r="E57" s="562" t="s">
        <v>539</v>
      </c>
      <c r="F57" s="562" t="s">
        <v>540</v>
      </c>
      <c r="G57" s="562" t="s">
        <v>1016</v>
      </c>
      <c r="H57" s="562" t="s">
        <v>542</v>
      </c>
    </row>
    <row r="58" spans="1:8">
      <c r="A58" s="407" t="s">
        <v>584</v>
      </c>
      <c r="B58" s="563"/>
      <c r="C58" s="563"/>
      <c r="D58" s="563"/>
      <c r="E58" s="563"/>
      <c r="F58" s="563"/>
      <c r="G58" s="563"/>
      <c r="H58" s="563"/>
    </row>
    <row r="59" spans="1:8" ht="25.5">
      <c r="A59" s="250" t="s">
        <v>1017</v>
      </c>
      <c r="B59" s="250" t="s">
        <v>585</v>
      </c>
      <c r="C59" s="250" t="s">
        <v>546</v>
      </c>
      <c r="D59" s="249" t="s">
        <v>479</v>
      </c>
      <c r="E59" s="250" t="s">
        <v>208</v>
      </c>
      <c r="F59" s="475">
        <v>1</v>
      </c>
      <c r="G59" s="487">
        <v>147.05000000000001</v>
      </c>
      <c r="H59" s="487">
        <v>147.05000000000001</v>
      </c>
    </row>
    <row r="60" spans="1:8" s="477" customFormat="1" ht="25.5">
      <c r="A60" s="252" t="s">
        <v>1018</v>
      </c>
      <c r="B60" s="252" t="s">
        <v>1065</v>
      </c>
      <c r="C60" s="252" t="s">
        <v>9</v>
      </c>
      <c r="D60" s="251" t="s">
        <v>226</v>
      </c>
      <c r="E60" s="252" t="s">
        <v>225</v>
      </c>
      <c r="F60" s="476">
        <v>2.4</v>
      </c>
      <c r="G60" s="488">
        <v>22.03</v>
      </c>
      <c r="H60" s="488">
        <v>52.87</v>
      </c>
    </row>
    <row r="61" spans="1:8" s="477" customFormat="1" ht="25.5">
      <c r="A61" s="252" t="s">
        <v>1018</v>
      </c>
      <c r="B61" s="252" t="s">
        <v>1025</v>
      </c>
      <c r="C61" s="252" t="s">
        <v>9</v>
      </c>
      <c r="D61" s="251" t="s">
        <v>211</v>
      </c>
      <c r="E61" s="252" t="s">
        <v>225</v>
      </c>
      <c r="F61" s="476">
        <v>2.61</v>
      </c>
      <c r="G61" s="488">
        <v>17.829999999999998</v>
      </c>
      <c r="H61" s="488">
        <v>46.53</v>
      </c>
    </row>
    <row r="62" spans="1:8" s="477" customFormat="1" ht="25.5">
      <c r="A62" s="252" t="s">
        <v>1028</v>
      </c>
      <c r="B62" s="252" t="s">
        <v>1066</v>
      </c>
      <c r="C62" s="252" t="s">
        <v>9</v>
      </c>
      <c r="D62" s="251" t="s">
        <v>1067</v>
      </c>
      <c r="E62" s="252" t="s">
        <v>15</v>
      </c>
      <c r="F62" s="476">
        <v>3.7999999999999999E-2</v>
      </c>
      <c r="G62" s="488">
        <v>120</v>
      </c>
      <c r="H62" s="488">
        <v>4.5599999999999996</v>
      </c>
    </row>
    <row r="63" spans="1:8" s="477" customFormat="1">
      <c r="A63" s="252" t="s">
        <v>1028</v>
      </c>
      <c r="B63" s="252" t="s">
        <v>1068</v>
      </c>
      <c r="C63" s="252" t="s">
        <v>9</v>
      </c>
      <c r="D63" s="251" t="s">
        <v>1069</v>
      </c>
      <c r="E63" s="252" t="s">
        <v>209</v>
      </c>
      <c r="F63" s="476">
        <v>6.75</v>
      </c>
      <c r="G63" s="488">
        <v>0.68</v>
      </c>
      <c r="H63" s="488">
        <v>4.59</v>
      </c>
    </row>
    <row r="64" spans="1:8" s="477" customFormat="1" ht="25.5">
      <c r="A64" s="252" t="s">
        <v>1028</v>
      </c>
      <c r="B64" s="252" t="s">
        <v>1070</v>
      </c>
      <c r="C64" s="252" t="s">
        <v>9</v>
      </c>
      <c r="D64" s="251" t="s">
        <v>1071</v>
      </c>
      <c r="E64" s="252" t="s">
        <v>448</v>
      </c>
      <c r="F64" s="476">
        <v>70</v>
      </c>
      <c r="G64" s="488">
        <v>0.55000000000000004</v>
      </c>
      <c r="H64" s="488">
        <v>38.5</v>
      </c>
    </row>
    <row r="65" spans="1:8" s="479" customFormat="1">
      <c r="A65" s="237"/>
      <c r="B65" s="237"/>
      <c r="C65" s="237"/>
      <c r="D65" s="237"/>
      <c r="E65" s="237"/>
      <c r="F65" s="566" t="s">
        <v>1022</v>
      </c>
      <c r="G65" s="566"/>
      <c r="H65" s="478">
        <v>39.229999999999997</v>
      </c>
    </row>
    <row r="66" spans="1:8" s="479" customFormat="1" ht="15.75" thickBot="1">
      <c r="A66" s="237"/>
      <c r="B66" s="237"/>
      <c r="C66" s="237"/>
      <c r="D66" s="237"/>
      <c r="E66" s="237"/>
      <c r="F66" s="565" t="s">
        <v>1023</v>
      </c>
      <c r="G66" s="565"/>
      <c r="H66" s="478">
        <v>186.28</v>
      </c>
    </row>
    <row r="67" spans="1:8" ht="15.75" thickTop="1">
      <c r="A67" s="254"/>
      <c r="B67" s="254"/>
      <c r="C67" s="254"/>
      <c r="D67" s="254"/>
      <c r="E67" s="254"/>
      <c r="F67" s="254"/>
      <c r="G67" s="254"/>
      <c r="H67" s="254"/>
    </row>
    <row r="68" spans="1:8">
      <c r="A68" s="407" t="s">
        <v>535</v>
      </c>
      <c r="B68" s="562" t="s">
        <v>536</v>
      </c>
      <c r="C68" s="562" t="s">
        <v>537</v>
      </c>
      <c r="D68" s="562" t="s">
        <v>538</v>
      </c>
      <c r="E68" s="562" t="s">
        <v>539</v>
      </c>
      <c r="F68" s="562" t="s">
        <v>540</v>
      </c>
      <c r="G68" s="562" t="s">
        <v>1016</v>
      </c>
      <c r="H68" s="562" t="s">
        <v>542</v>
      </c>
    </row>
    <row r="69" spans="1:8">
      <c r="A69" s="407" t="s">
        <v>631</v>
      </c>
      <c r="B69" s="563"/>
      <c r="C69" s="563"/>
      <c r="D69" s="563"/>
      <c r="E69" s="563"/>
      <c r="F69" s="563"/>
      <c r="G69" s="563"/>
      <c r="H69" s="563"/>
    </row>
    <row r="70" spans="1:8" ht="63.75">
      <c r="A70" s="250" t="s">
        <v>1017</v>
      </c>
      <c r="B70" s="250" t="s">
        <v>1551</v>
      </c>
      <c r="C70" s="250" t="s">
        <v>546</v>
      </c>
      <c r="D70" s="249" t="s">
        <v>632</v>
      </c>
      <c r="E70" s="250" t="s">
        <v>208</v>
      </c>
      <c r="F70" s="475">
        <v>1</v>
      </c>
      <c r="G70" s="487">
        <v>654.35</v>
      </c>
      <c r="H70" s="487">
        <v>654.35</v>
      </c>
    </row>
    <row r="71" spans="1:8" s="477" customFormat="1" ht="25.5">
      <c r="A71" s="252" t="s">
        <v>1018</v>
      </c>
      <c r="B71" s="252" t="s">
        <v>1072</v>
      </c>
      <c r="C71" s="252" t="s">
        <v>9</v>
      </c>
      <c r="D71" s="251" t="s">
        <v>205</v>
      </c>
      <c r="E71" s="252" t="s">
        <v>225</v>
      </c>
      <c r="F71" s="476">
        <v>0.32400000000000001</v>
      </c>
      <c r="G71" s="488">
        <v>17.72</v>
      </c>
      <c r="H71" s="488">
        <v>5.74</v>
      </c>
    </row>
    <row r="72" spans="1:8" s="477" customFormat="1" ht="25.5">
      <c r="A72" s="252" t="s">
        <v>1018</v>
      </c>
      <c r="B72" s="252" t="s">
        <v>1024</v>
      </c>
      <c r="C72" s="252" t="s">
        <v>9</v>
      </c>
      <c r="D72" s="251" t="s">
        <v>206</v>
      </c>
      <c r="E72" s="252" t="s">
        <v>225</v>
      </c>
      <c r="F72" s="476">
        <v>1.7689999999999999</v>
      </c>
      <c r="G72" s="488">
        <v>21.79</v>
      </c>
      <c r="H72" s="488">
        <v>38.54</v>
      </c>
    </row>
    <row r="73" spans="1:8" s="477" customFormat="1" ht="25.5">
      <c r="A73" s="252" t="s">
        <v>1018</v>
      </c>
      <c r="B73" s="252" t="s">
        <v>1025</v>
      </c>
      <c r="C73" s="252" t="s">
        <v>9</v>
      </c>
      <c r="D73" s="251" t="s">
        <v>211</v>
      </c>
      <c r="E73" s="252" t="s">
        <v>225</v>
      </c>
      <c r="F73" s="476">
        <v>1.5</v>
      </c>
      <c r="G73" s="488">
        <v>17.829999999999998</v>
      </c>
      <c r="H73" s="488">
        <v>26.74</v>
      </c>
    </row>
    <row r="74" spans="1:8" s="477" customFormat="1" ht="25.5">
      <c r="A74" s="252" t="s">
        <v>1018</v>
      </c>
      <c r="B74" s="252" t="s">
        <v>1065</v>
      </c>
      <c r="C74" s="252" t="s">
        <v>9</v>
      </c>
      <c r="D74" s="251" t="s">
        <v>226</v>
      </c>
      <c r="E74" s="252" t="s">
        <v>225</v>
      </c>
      <c r="F74" s="476">
        <v>0.85</v>
      </c>
      <c r="G74" s="488">
        <v>22.03</v>
      </c>
      <c r="H74" s="488">
        <v>18.72</v>
      </c>
    </row>
    <row r="75" spans="1:8" s="477" customFormat="1" ht="38.25">
      <c r="A75" s="252" t="s">
        <v>1028</v>
      </c>
      <c r="B75" s="252" t="s">
        <v>1073</v>
      </c>
      <c r="C75" s="252" t="s">
        <v>9</v>
      </c>
      <c r="D75" s="251" t="s">
        <v>1074</v>
      </c>
      <c r="E75" s="252" t="s">
        <v>1021</v>
      </c>
      <c r="F75" s="476">
        <v>1</v>
      </c>
      <c r="G75" s="488">
        <v>5.49</v>
      </c>
      <c r="H75" s="488">
        <v>5.49</v>
      </c>
    </row>
    <row r="76" spans="1:8" s="477" customFormat="1" ht="76.5">
      <c r="A76" s="252" t="s">
        <v>1028</v>
      </c>
      <c r="B76" s="252" t="s">
        <v>1075</v>
      </c>
      <c r="C76" s="252" t="s">
        <v>546</v>
      </c>
      <c r="D76" s="251" t="s">
        <v>279</v>
      </c>
      <c r="E76" s="252" t="s">
        <v>208</v>
      </c>
      <c r="F76" s="476">
        <v>1</v>
      </c>
      <c r="G76" s="488">
        <v>463.12</v>
      </c>
      <c r="H76" s="488">
        <v>463.12</v>
      </c>
    </row>
    <row r="77" spans="1:8" s="477" customFormat="1" ht="63.75">
      <c r="A77" s="252" t="s">
        <v>1028</v>
      </c>
      <c r="B77" s="252" t="s">
        <v>1076</v>
      </c>
      <c r="C77" s="252" t="s">
        <v>9</v>
      </c>
      <c r="D77" s="251" t="s">
        <v>1594</v>
      </c>
      <c r="E77" s="252" t="s">
        <v>1077</v>
      </c>
      <c r="F77" s="476">
        <v>8</v>
      </c>
      <c r="G77" s="488">
        <v>12</v>
      </c>
      <c r="H77" s="488">
        <v>96</v>
      </c>
    </row>
    <row r="78" spans="1:8" s="479" customFormat="1">
      <c r="A78" s="237"/>
      <c r="B78" s="237"/>
      <c r="C78" s="237"/>
      <c r="D78" s="237"/>
      <c r="E78" s="237"/>
      <c r="F78" s="566" t="s">
        <v>1022</v>
      </c>
      <c r="G78" s="566"/>
      <c r="H78" s="478">
        <v>174.58</v>
      </c>
    </row>
    <row r="79" spans="1:8" s="479" customFormat="1" ht="15.75" thickBot="1">
      <c r="A79" s="237"/>
      <c r="B79" s="237"/>
      <c r="C79" s="237"/>
      <c r="D79" s="237"/>
      <c r="E79" s="237"/>
      <c r="F79" s="565" t="s">
        <v>1023</v>
      </c>
      <c r="G79" s="565"/>
      <c r="H79" s="478">
        <v>828.93</v>
      </c>
    </row>
    <row r="80" spans="1:8" ht="15.75" thickTop="1">
      <c r="A80" s="254"/>
      <c r="B80" s="254"/>
      <c r="C80" s="254"/>
      <c r="D80" s="254"/>
      <c r="E80" s="254"/>
      <c r="F80" s="254"/>
      <c r="G80" s="254"/>
      <c r="H80" s="254"/>
    </row>
    <row r="81" spans="1:8">
      <c r="A81" s="407" t="s">
        <v>535</v>
      </c>
      <c r="B81" s="562" t="s">
        <v>536</v>
      </c>
      <c r="C81" s="562" t="s">
        <v>537</v>
      </c>
      <c r="D81" s="562" t="s">
        <v>538</v>
      </c>
      <c r="E81" s="562" t="s">
        <v>539</v>
      </c>
      <c r="F81" s="562" t="s">
        <v>540</v>
      </c>
      <c r="G81" s="562" t="s">
        <v>1016</v>
      </c>
      <c r="H81" s="562" t="s">
        <v>542</v>
      </c>
    </row>
    <row r="82" spans="1:8">
      <c r="A82" s="407" t="s">
        <v>638</v>
      </c>
      <c r="B82" s="563"/>
      <c r="C82" s="563"/>
      <c r="D82" s="563"/>
      <c r="E82" s="563"/>
      <c r="F82" s="563"/>
      <c r="G82" s="563"/>
      <c r="H82" s="563"/>
    </row>
    <row r="83" spans="1:8">
      <c r="A83" s="250" t="s">
        <v>1017</v>
      </c>
      <c r="B83" s="250" t="s">
        <v>639</v>
      </c>
      <c r="C83" s="250" t="s">
        <v>546</v>
      </c>
      <c r="D83" s="249" t="s">
        <v>640</v>
      </c>
      <c r="E83" s="250" t="s">
        <v>208</v>
      </c>
      <c r="F83" s="475">
        <v>1</v>
      </c>
      <c r="G83" s="487">
        <v>744.47</v>
      </c>
      <c r="H83" s="487">
        <v>744.47</v>
      </c>
    </row>
    <row r="84" spans="1:8" s="477" customFormat="1" ht="25.5">
      <c r="A84" s="252" t="s">
        <v>1018</v>
      </c>
      <c r="B84" s="252" t="s">
        <v>1025</v>
      </c>
      <c r="C84" s="252" t="s">
        <v>9</v>
      </c>
      <c r="D84" s="251" t="s">
        <v>211</v>
      </c>
      <c r="E84" s="252" t="s">
        <v>225</v>
      </c>
      <c r="F84" s="476">
        <v>2</v>
      </c>
      <c r="G84" s="488">
        <v>17.829999999999998</v>
      </c>
      <c r="H84" s="488">
        <v>35.659999999999997</v>
      </c>
    </row>
    <row r="85" spans="1:8" s="477" customFormat="1" ht="25.5">
      <c r="A85" s="252" t="s">
        <v>1018</v>
      </c>
      <c r="B85" s="252" t="s">
        <v>1065</v>
      </c>
      <c r="C85" s="252" t="s">
        <v>9</v>
      </c>
      <c r="D85" s="251" t="s">
        <v>226</v>
      </c>
      <c r="E85" s="252" t="s">
        <v>225</v>
      </c>
      <c r="F85" s="476">
        <v>1.2</v>
      </c>
      <c r="G85" s="488">
        <v>22.03</v>
      </c>
      <c r="H85" s="488">
        <v>26.43</v>
      </c>
    </row>
    <row r="86" spans="1:8" s="477" customFormat="1" ht="25.5">
      <c r="A86" s="252" t="s">
        <v>1028</v>
      </c>
      <c r="B86" s="252" t="s">
        <v>1078</v>
      </c>
      <c r="C86" s="252" t="s">
        <v>9</v>
      </c>
      <c r="D86" s="251" t="s">
        <v>1079</v>
      </c>
      <c r="E86" s="252" t="s">
        <v>15</v>
      </c>
      <c r="F86" s="476">
        <v>8.0000000000000002E-3</v>
      </c>
      <c r="G86" s="488">
        <v>121.56</v>
      </c>
      <c r="H86" s="488">
        <v>0.97</v>
      </c>
    </row>
    <row r="87" spans="1:8" s="477" customFormat="1">
      <c r="A87" s="252" t="s">
        <v>1028</v>
      </c>
      <c r="B87" s="252" t="s">
        <v>1068</v>
      </c>
      <c r="C87" s="252" t="s">
        <v>9</v>
      </c>
      <c r="D87" s="251" t="s">
        <v>1069</v>
      </c>
      <c r="E87" s="252" t="s">
        <v>209</v>
      </c>
      <c r="F87" s="476">
        <v>3.2</v>
      </c>
      <c r="G87" s="488">
        <v>0.68</v>
      </c>
      <c r="H87" s="488">
        <v>2.17</v>
      </c>
    </row>
    <row r="88" spans="1:8" s="477" customFormat="1" ht="38.25">
      <c r="A88" s="252" t="s">
        <v>1028</v>
      </c>
      <c r="B88" s="252" t="s">
        <v>1080</v>
      </c>
      <c r="C88" s="252" t="s">
        <v>9</v>
      </c>
      <c r="D88" s="251" t="s">
        <v>1081</v>
      </c>
      <c r="E88" s="252" t="s">
        <v>10</v>
      </c>
      <c r="F88" s="476">
        <v>1</v>
      </c>
      <c r="G88" s="488">
        <v>679.24</v>
      </c>
      <c r="H88" s="488">
        <v>679.24</v>
      </c>
    </row>
    <row r="89" spans="1:8" s="479" customFormat="1">
      <c r="A89" s="237"/>
      <c r="B89" s="237"/>
      <c r="C89" s="237"/>
      <c r="D89" s="237"/>
      <c r="E89" s="237"/>
      <c r="F89" s="566" t="s">
        <v>1022</v>
      </c>
      <c r="G89" s="566"/>
      <c r="H89" s="478">
        <v>198.62</v>
      </c>
    </row>
    <row r="90" spans="1:8" s="479" customFormat="1" ht="15.75" thickBot="1">
      <c r="A90" s="237"/>
      <c r="B90" s="237"/>
      <c r="C90" s="237"/>
      <c r="D90" s="237"/>
      <c r="E90" s="237"/>
      <c r="F90" s="565" t="s">
        <v>1023</v>
      </c>
      <c r="G90" s="565"/>
      <c r="H90" s="478">
        <v>943.09</v>
      </c>
    </row>
    <row r="91" spans="1:8" ht="15.75" thickTop="1">
      <c r="A91" s="254"/>
      <c r="B91" s="254"/>
      <c r="C91" s="254"/>
      <c r="D91" s="254"/>
      <c r="E91" s="254"/>
      <c r="F91" s="254"/>
      <c r="G91" s="254"/>
      <c r="H91" s="254"/>
    </row>
    <row r="92" spans="1:8">
      <c r="A92" s="407" t="s">
        <v>535</v>
      </c>
      <c r="B92" s="562" t="s">
        <v>536</v>
      </c>
      <c r="C92" s="562" t="s">
        <v>537</v>
      </c>
      <c r="D92" s="562" t="s">
        <v>538</v>
      </c>
      <c r="E92" s="562" t="s">
        <v>539</v>
      </c>
      <c r="F92" s="562" t="s">
        <v>540</v>
      </c>
      <c r="G92" s="562" t="s">
        <v>1016</v>
      </c>
      <c r="H92" s="562" t="s">
        <v>542</v>
      </c>
    </row>
    <row r="93" spans="1:8">
      <c r="A93" s="407" t="s">
        <v>656</v>
      </c>
      <c r="B93" s="563"/>
      <c r="C93" s="563"/>
      <c r="D93" s="563"/>
      <c r="E93" s="563"/>
      <c r="F93" s="563"/>
      <c r="G93" s="563"/>
      <c r="H93" s="563"/>
    </row>
    <row r="94" spans="1:8" ht="63.75">
      <c r="A94" s="250" t="s">
        <v>1017</v>
      </c>
      <c r="B94" s="250" t="s">
        <v>1552</v>
      </c>
      <c r="C94" s="250" t="s">
        <v>546</v>
      </c>
      <c r="D94" s="249" t="s">
        <v>207</v>
      </c>
      <c r="E94" s="250" t="s">
        <v>441</v>
      </c>
      <c r="F94" s="475">
        <v>1</v>
      </c>
      <c r="G94" s="487">
        <v>805.8</v>
      </c>
      <c r="H94" s="487">
        <v>805.8</v>
      </c>
    </row>
    <row r="95" spans="1:8" s="477" customFormat="1" ht="25.5">
      <c r="A95" s="252" t="s">
        <v>1018</v>
      </c>
      <c r="B95" s="252" t="s">
        <v>1072</v>
      </c>
      <c r="C95" s="252" t="s">
        <v>9</v>
      </c>
      <c r="D95" s="251" t="s">
        <v>205</v>
      </c>
      <c r="E95" s="252" t="s">
        <v>225</v>
      </c>
      <c r="F95" s="476">
        <v>3.45</v>
      </c>
      <c r="G95" s="488">
        <v>17.72</v>
      </c>
      <c r="H95" s="488">
        <v>61.13</v>
      </c>
    </row>
    <row r="96" spans="1:8" s="477" customFormat="1" ht="25.5">
      <c r="A96" s="252" t="s">
        <v>1018</v>
      </c>
      <c r="B96" s="252" t="s">
        <v>1082</v>
      </c>
      <c r="C96" s="252" t="s">
        <v>9</v>
      </c>
      <c r="D96" s="251" t="s">
        <v>1083</v>
      </c>
      <c r="E96" s="252" t="s">
        <v>225</v>
      </c>
      <c r="F96" s="476">
        <v>3.45</v>
      </c>
      <c r="G96" s="488">
        <v>21.83</v>
      </c>
      <c r="H96" s="488">
        <v>75.31</v>
      </c>
    </row>
    <row r="97" spans="1:8" s="477" customFormat="1" ht="25.5">
      <c r="A97" s="252" t="s">
        <v>1018</v>
      </c>
      <c r="B97" s="252" t="s">
        <v>1084</v>
      </c>
      <c r="C97" s="252" t="s">
        <v>9</v>
      </c>
      <c r="D97" s="251" t="s">
        <v>1085</v>
      </c>
      <c r="E97" s="252" t="s">
        <v>10</v>
      </c>
      <c r="F97" s="476">
        <v>0.22</v>
      </c>
      <c r="G97" s="488">
        <v>263.43</v>
      </c>
      <c r="H97" s="488">
        <v>57.95</v>
      </c>
    </row>
    <row r="98" spans="1:8" s="477" customFormat="1" ht="25.5">
      <c r="A98" s="252" t="s">
        <v>1018</v>
      </c>
      <c r="B98" s="252" t="s">
        <v>1086</v>
      </c>
      <c r="C98" s="252" t="s">
        <v>9</v>
      </c>
      <c r="D98" s="251" t="s">
        <v>232</v>
      </c>
      <c r="E98" s="252" t="s">
        <v>210</v>
      </c>
      <c r="F98" s="476">
        <v>2</v>
      </c>
      <c r="G98" s="488">
        <v>10.84</v>
      </c>
      <c r="H98" s="488">
        <v>21.68</v>
      </c>
    </row>
    <row r="99" spans="1:8" s="477" customFormat="1" ht="38.25">
      <c r="A99" s="252" t="s">
        <v>1028</v>
      </c>
      <c r="B99" s="252" t="s">
        <v>1087</v>
      </c>
      <c r="C99" s="252" t="s">
        <v>9</v>
      </c>
      <c r="D99" s="251" t="s">
        <v>1088</v>
      </c>
      <c r="E99" s="252" t="s">
        <v>448</v>
      </c>
      <c r="F99" s="476">
        <v>1</v>
      </c>
      <c r="G99" s="488">
        <v>226.48</v>
      </c>
      <c r="H99" s="488">
        <v>226.48</v>
      </c>
    </row>
    <row r="100" spans="1:8" s="477" customFormat="1" ht="63.75">
      <c r="A100" s="252" t="s">
        <v>1028</v>
      </c>
      <c r="B100" s="252" t="s">
        <v>1089</v>
      </c>
      <c r="C100" s="252" t="s">
        <v>9</v>
      </c>
      <c r="D100" s="251" t="s">
        <v>1090</v>
      </c>
      <c r="E100" s="252" t="s">
        <v>1091</v>
      </c>
      <c r="F100" s="476">
        <v>1</v>
      </c>
      <c r="G100" s="488">
        <v>205</v>
      </c>
      <c r="H100" s="488">
        <v>205</v>
      </c>
    </row>
    <row r="101" spans="1:8" s="477" customFormat="1" ht="51">
      <c r="A101" s="252" t="s">
        <v>1028</v>
      </c>
      <c r="B101" s="252" t="s">
        <v>1092</v>
      </c>
      <c r="C101" s="252" t="s">
        <v>9</v>
      </c>
      <c r="D101" s="251" t="s">
        <v>1093</v>
      </c>
      <c r="E101" s="252" t="s">
        <v>1094</v>
      </c>
      <c r="F101" s="476">
        <v>1</v>
      </c>
      <c r="G101" s="488">
        <v>138.38999999999999</v>
      </c>
      <c r="H101" s="488">
        <v>138.38999999999999</v>
      </c>
    </row>
    <row r="102" spans="1:8" s="477" customFormat="1">
      <c r="A102" s="252" t="s">
        <v>1028</v>
      </c>
      <c r="B102" s="252" t="s">
        <v>1095</v>
      </c>
      <c r="C102" s="252" t="s">
        <v>9</v>
      </c>
      <c r="D102" s="251" t="s">
        <v>1096</v>
      </c>
      <c r="E102" s="252" t="s">
        <v>209</v>
      </c>
      <c r="F102" s="476">
        <v>1.62</v>
      </c>
      <c r="G102" s="488">
        <v>12.26</v>
      </c>
      <c r="H102" s="488">
        <v>19.86</v>
      </c>
    </row>
    <row r="103" spans="1:8" s="479" customFormat="1">
      <c r="A103" s="237"/>
      <c r="B103" s="237"/>
      <c r="C103" s="237"/>
      <c r="D103" s="237"/>
      <c r="E103" s="237"/>
      <c r="F103" s="566" t="s">
        <v>1022</v>
      </c>
      <c r="G103" s="566"/>
      <c r="H103" s="478">
        <v>214.98</v>
      </c>
    </row>
    <row r="104" spans="1:8" s="479" customFormat="1" ht="15.75" thickBot="1">
      <c r="A104" s="237"/>
      <c r="B104" s="237"/>
      <c r="C104" s="237"/>
      <c r="D104" s="237"/>
      <c r="E104" s="237"/>
      <c r="F104" s="565" t="s">
        <v>1023</v>
      </c>
      <c r="G104" s="565"/>
      <c r="H104" s="478">
        <v>1020.78</v>
      </c>
    </row>
    <row r="105" spans="1:8" ht="15.75" thickTop="1">
      <c r="A105" s="254"/>
      <c r="B105" s="254"/>
      <c r="C105" s="254"/>
      <c r="D105" s="254"/>
      <c r="E105" s="254"/>
      <c r="F105" s="254"/>
      <c r="G105" s="254"/>
      <c r="H105" s="254"/>
    </row>
    <row r="106" spans="1:8">
      <c r="A106" s="407" t="s">
        <v>535</v>
      </c>
      <c r="B106" s="562" t="s">
        <v>536</v>
      </c>
      <c r="C106" s="562" t="s">
        <v>537</v>
      </c>
      <c r="D106" s="562" t="s">
        <v>538</v>
      </c>
      <c r="E106" s="562" t="s">
        <v>539</v>
      </c>
      <c r="F106" s="562" t="s">
        <v>540</v>
      </c>
      <c r="G106" s="562" t="s">
        <v>1016</v>
      </c>
      <c r="H106" s="562" t="s">
        <v>542</v>
      </c>
    </row>
    <row r="107" spans="1:8">
      <c r="A107" s="407" t="s">
        <v>669</v>
      </c>
      <c r="B107" s="563"/>
      <c r="C107" s="563"/>
      <c r="D107" s="563"/>
      <c r="E107" s="563"/>
      <c r="F107" s="563"/>
      <c r="G107" s="563"/>
      <c r="H107" s="563"/>
    </row>
    <row r="108" spans="1:8" ht="25.5">
      <c r="A108" s="250" t="s">
        <v>1017</v>
      </c>
      <c r="B108" s="250" t="s">
        <v>670</v>
      </c>
      <c r="C108" s="250" t="s">
        <v>546</v>
      </c>
      <c r="D108" s="249" t="s">
        <v>671</v>
      </c>
      <c r="E108" s="250" t="s">
        <v>208</v>
      </c>
      <c r="F108" s="475">
        <v>1</v>
      </c>
      <c r="G108" s="487">
        <v>461.48</v>
      </c>
      <c r="H108" s="487">
        <v>461.48</v>
      </c>
    </row>
    <row r="109" spans="1:8" s="477" customFormat="1" ht="25.5">
      <c r="A109" s="252" t="s">
        <v>1018</v>
      </c>
      <c r="B109" s="252" t="s">
        <v>1025</v>
      </c>
      <c r="C109" s="252" t="s">
        <v>9</v>
      </c>
      <c r="D109" s="251" t="s">
        <v>211</v>
      </c>
      <c r="E109" s="252" t="s">
        <v>225</v>
      </c>
      <c r="F109" s="476">
        <v>1</v>
      </c>
      <c r="G109" s="488">
        <v>17.829999999999998</v>
      </c>
      <c r="H109" s="488">
        <v>17.829999999999998</v>
      </c>
    </row>
    <row r="110" spans="1:8" s="477" customFormat="1" ht="25.5">
      <c r="A110" s="252" t="s">
        <v>1018</v>
      </c>
      <c r="B110" s="252" t="s">
        <v>1065</v>
      </c>
      <c r="C110" s="252" t="s">
        <v>9</v>
      </c>
      <c r="D110" s="251" t="s">
        <v>226</v>
      </c>
      <c r="E110" s="252" t="s">
        <v>225</v>
      </c>
      <c r="F110" s="476">
        <v>1</v>
      </c>
      <c r="G110" s="488">
        <v>22.03</v>
      </c>
      <c r="H110" s="488">
        <v>22.03</v>
      </c>
    </row>
    <row r="111" spans="1:8" s="477" customFormat="1" ht="25.5">
      <c r="A111" s="252" t="s">
        <v>1018</v>
      </c>
      <c r="B111" s="252" t="s">
        <v>1097</v>
      </c>
      <c r="C111" s="252" t="s">
        <v>9</v>
      </c>
      <c r="D111" s="251" t="s">
        <v>1098</v>
      </c>
      <c r="E111" s="252" t="s">
        <v>15</v>
      </c>
      <c r="F111" s="476">
        <v>3.0000000000000001E-3</v>
      </c>
      <c r="G111" s="488">
        <v>543.32000000000005</v>
      </c>
      <c r="H111" s="488">
        <v>1.62</v>
      </c>
    </row>
    <row r="112" spans="1:8" s="477" customFormat="1" ht="25.5">
      <c r="A112" s="252" t="s">
        <v>1028</v>
      </c>
      <c r="B112" s="252" t="s">
        <v>1099</v>
      </c>
      <c r="C112" s="252" t="s">
        <v>136</v>
      </c>
      <c r="D112" s="251" t="s">
        <v>1595</v>
      </c>
      <c r="E112" s="252" t="s">
        <v>10</v>
      </c>
      <c r="F112" s="476">
        <v>1</v>
      </c>
      <c r="G112" s="488">
        <v>420</v>
      </c>
      <c r="H112" s="488">
        <v>420</v>
      </c>
    </row>
    <row r="113" spans="1:8" s="479" customFormat="1">
      <c r="A113" s="237"/>
      <c r="B113" s="237"/>
      <c r="C113" s="237"/>
      <c r="D113" s="237"/>
      <c r="E113" s="237"/>
      <c r="F113" s="566" t="s">
        <v>1022</v>
      </c>
      <c r="G113" s="566"/>
      <c r="H113" s="478">
        <v>123.12</v>
      </c>
    </row>
    <row r="114" spans="1:8" s="479" customFormat="1" ht="15.75" thickBot="1">
      <c r="A114" s="237"/>
      <c r="B114" s="237"/>
      <c r="C114" s="237"/>
      <c r="D114" s="237"/>
      <c r="E114" s="237"/>
      <c r="F114" s="565" t="s">
        <v>1023</v>
      </c>
      <c r="G114" s="565"/>
      <c r="H114" s="478">
        <v>584.6</v>
      </c>
    </row>
    <row r="115" spans="1:8" ht="15.75" thickTop="1">
      <c r="A115" s="254"/>
      <c r="B115" s="254"/>
      <c r="C115" s="254"/>
      <c r="D115" s="254"/>
      <c r="E115" s="254"/>
      <c r="F115" s="254"/>
      <c r="G115" s="254"/>
      <c r="H115" s="254"/>
    </row>
    <row r="116" spans="1:8">
      <c r="A116" s="407" t="s">
        <v>535</v>
      </c>
      <c r="B116" s="562" t="s">
        <v>536</v>
      </c>
      <c r="C116" s="562" t="s">
        <v>537</v>
      </c>
      <c r="D116" s="562" t="s">
        <v>538</v>
      </c>
      <c r="E116" s="562" t="s">
        <v>539</v>
      </c>
      <c r="F116" s="562" t="s">
        <v>540</v>
      </c>
      <c r="G116" s="562" t="s">
        <v>1016</v>
      </c>
      <c r="H116" s="562" t="s">
        <v>542</v>
      </c>
    </row>
    <row r="117" spans="1:8">
      <c r="A117" s="407" t="s">
        <v>689</v>
      </c>
      <c r="B117" s="563"/>
      <c r="C117" s="563"/>
      <c r="D117" s="563"/>
      <c r="E117" s="563"/>
      <c r="F117" s="563"/>
      <c r="G117" s="563"/>
      <c r="H117" s="563"/>
    </row>
    <row r="118" spans="1:8">
      <c r="A118" s="250" t="s">
        <v>1017</v>
      </c>
      <c r="B118" s="250" t="s">
        <v>693</v>
      </c>
      <c r="C118" s="250" t="s">
        <v>546</v>
      </c>
      <c r="D118" s="249" t="s">
        <v>694</v>
      </c>
      <c r="E118" s="250" t="s">
        <v>210</v>
      </c>
      <c r="F118" s="475">
        <v>1</v>
      </c>
      <c r="G118" s="487">
        <v>147.75</v>
      </c>
      <c r="H118" s="487">
        <v>147.75</v>
      </c>
    </row>
    <row r="119" spans="1:8" s="477" customFormat="1" ht="25.5">
      <c r="A119" s="252" t="s">
        <v>1018</v>
      </c>
      <c r="B119" s="252" t="s">
        <v>1065</v>
      </c>
      <c r="C119" s="252" t="s">
        <v>9</v>
      </c>
      <c r="D119" s="251" t="s">
        <v>226</v>
      </c>
      <c r="E119" s="252" t="s">
        <v>225</v>
      </c>
      <c r="F119" s="476">
        <v>0.24</v>
      </c>
      <c r="G119" s="488">
        <v>22.03</v>
      </c>
      <c r="H119" s="488">
        <v>5.28</v>
      </c>
    </row>
    <row r="120" spans="1:8" s="477" customFormat="1" ht="25.5">
      <c r="A120" s="252" t="s">
        <v>1018</v>
      </c>
      <c r="B120" s="252" t="s">
        <v>1025</v>
      </c>
      <c r="C120" s="252" t="s">
        <v>9</v>
      </c>
      <c r="D120" s="251" t="s">
        <v>211</v>
      </c>
      <c r="E120" s="252" t="s">
        <v>225</v>
      </c>
      <c r="F120" s="476">
        <v>0.24</v>
      </c>
      <c r="G120" s="488">
        <v>17.829999999999998</v>
      </c>
      <c r="H120" s="488">
        <v>4.2699999999999996</v>
      </c>
    </row>
    <row r="121" spans="1:8" s="477" customFormat="1">
      <c r="A121" s="252" t="s">
        <v>1028</v>
      </c>
      <c r="B121" s="252" t="s">
        <v>1100</v>
      </c>
      <c r="C121" s="252" t="s">
        <v>136</v>
      </c>
      <c r="D121" s="251" t="s">
        <v>1596</v>
      </c>
      <c r="E121" s="252" t="s">
        <v>20</v>
      </c>
      <c r="F121" s="476">
        <v>1</v>
      </c>
      <c r="G121" s="488">
        <v>138.19999999999999</v>
      </c>
      <c r="H121" s="488">
        <v>138.19999999999999</v>
      </c>
    </row>
    <row r="122" spans="1:8" s="479" customFormat="1">
      <c r="A122" s="237"/>
      <c r="B122" s="237"/>
      <c r="C122" s="237"/>
      <c r="D122" s="237"/>
      <c r="E122" s="237"/>
      <c r="F122" s="566" t="s">
        <v>1022</v>
      </c>
      <c r="G122" s="566"/>
      <c r="H122" s="478">
        <v>39.409999999999997</v>
      </c>
    </row>
    <row r="123" spans="1:8" s="479" customFormat="1" ht="15.75" thickBot="1">
      <c r="A123" s="237"/>
      <c r="B123" s="237"/>
      <c r="C123" s="237"/>
      <c r="D123" s="237"/>
      <c r="E123" s="237"/>
      <c r="F123" s="565" t="s">
        <v>1023</v>
      </c>
      <c r="G123" s="565"/>
      <c r="H123" s="478">
        <v>187.16</v>
      </c>
    </row>
    <row r="124" spans="1:8" ht="15.75" thickTop="1">
      <c r="A124" s="254"/>
      <c r="B124" s="254"/>
      <c r="C124" s="254"/>
      <c r="D124" s="254"/>
      <c r="E124" s="254"/>
      <c r="F124" s="254"/>
      <c r="G124" s="254"/>
      <c r="H124" s="254"/>
    </row>
    <row r="125" spans="1:8">
      <c r="A125" s="407" t="s">
        <v>535</v>
      </c>
      <c r="B125" s="562" t="s">
        <v>536</v>
      </c>
      <c r="C125" s="562" t="s">
        <v>537</v>
      </c>
      <c r="D125" s="562" t="s">
        <v>538</v>
      </c>
      <c r="E125" s="562" t="s">
        <v>539</v>
      </c>
      <c r="F125" s="562" t="s">
        <v>540</v>
      </c>
      <c r="G125" s="562" t="s">
        <v>1016</v>
      </c>
      <c r="H125" s="562" t="s">
        <v>542</v>
      </c>
    </row>
    <row r="126" spans="1:8">
      <c r="A126" s="407" t="s">
        <v>729</v>
      </c>
      <c r="B126" s="563"/>
      <c r="C126" s="563"/>
      <c r="D126" s="563"/>
      <c r="E126" s="563"/>
      <c r="F126" s="563"/>
      <c r="G126" s="563"/>
      <c r="H126" s="563"/>
    </row>
    <row r="127" spans="1:8" ht="38.25">
      <c r="A127" s="250" t="s">
        <v>1017</v>
      </c>
      <c r="B127" s="250" t="s">
        <v>725</v>
      </c>
      <c r="C127" s="250" t="s">
        <v>546</v>
      </c>
      <c r="D127" s="249" t="s">
        <v>726</v>
      </c>
      <c r="E127" s="250" t="s">
        <v>208</v>
      </c>
      <c r="F127" s="475">
        <v>1</v>
      </c>
      <c r="G127" s="487">
        <v>109.68</v>
      </c>
      <c r="H127" s="487">
        <v>109.68</v>
      </c>
    </row>
    <row r="128" spans="1:8" s="477" customFormat="1" ht="25.5">
      <c r="A128" s="252" t="s">
        <v>1018</v>
      </c>
      <c r="B128" s="252" t="s">
        <v>1065</v>
      </c>
      <c r="C128" s="252" t="s">
        <v>9</v>
      </c>
      <c r="D128" s="251" t="s">
        <v>226</v>
      </c>
      <c r="E128" s="252" t="s">
        <v>225</v>
      </c>
      <c r="F128" s="476">
        <v>0.7</v>
      </c>
      <c r="G128" s="488">
        <v>22.03</v>
      </c>
      <c r="H128" s="488">
        <v>15.42</v>
      </c>
    </row>
    <row r="129" spans="1:8" s="477" customFormat="1" ht="25.5">
      <c r="A129" s="252" t="s">
        <v>1018</v>
      </c>
      <c r="B129" s="252" t="s">
        <v>1025</v>
      </c>
      <c r="C129" s="252" t="s">
        <v>9</v>
      </c>
      <c r="D129" s="251" t="s">
        <v>211</v>
      </c>
      <c r="E129" s="252" t="s">
        <v>225</v>
      </c>
      <c r="F129" s="476">
        <v>0.7</v>
      </c>
      <c r="G129" s="488">
        <v>17.829999999999998</v>
      </c>
      <c r="H129" s="488">
        <v>12.48</v>
      </c>
    </row>
    <row r="130" spans="1:8" s="477" customFormat="1">
      <c r="A130" s="252" t="s">
        <v>1028</v>
      </c>
      <c r="B130" s="252" t="s">
        <v>1101</v>
      </c>
      <c r="C130" s="252" t="s">
        <v>9</v>
      </c>
      <c r="D130" s="251" t="s">
        <v>1102</v>
      </c>
      <c r="E130" s="252" t="s">
        <v>10</v>
      </c>
      <c r="F130" s="476">
        <v>1.05</v>
      </c>
      <c r="G130" s="488">
        <v>70.16</v>
      </c>
      <c r="H130" s="488">
        <v>73.66</v>
      </c>
    </row>
    <row r="131" spans="1:8" s="477" customFormat="1">
      <c r="A131" s="252" t="s">
        <v>1028</v>
      </c>
      <c r="B131" s="252" t="s">
        <v>1103</v>
      </c>
      <c r="C131" s="252" t="s">
        <v>9</v>
      </c>
      <c r="D131" s="251" t="s">
        <v>1104</v>
      </c>
      <c r="E131" s="252" t="s">
        <v>1105</v>
      </c>
      <c r="F131" s="476">
        <v>0.15</v>
      </c>
      <c r="G131" s="488">
        <v>33.71</v>
      </c>
      <c r="H131" s="488">
        <v>5.05</v>
      </c>
    </row>
    <row r="132" spans="1:8" s="477" customFormat="1">
      <c r="A132" s="252" t="s">
        <v>1028</v>
      </c>
      <c r="B132" s="252" t="s">
        <v>1106</v>
      </c>
      <c r="C132" s="252" t="s">
        <v>136</v>
      </c>
      <c r="D132" s="251" t="s">
        <v>1597</v>
      </c>
      <c r="E132" s="252" t="s">
        <v>20</v>
      </c>
      <c r="F132" s="476">
        <v>1.25</v>
      </c>
      <c r="G132" s="488">
        <v>0.28999999999999998</v>
      </c>
      <c r="H132" s="488">
        <v>0.36</v>
      </c>
    </row>
    <row r="133" spans="1:8" s="477" customFormat="1">
      <c r="A133" s="252" t="s">
        <v>1028</v>
      </c>
      <c r="B133" s="252" t="s">
        <v>1107</v>
      </c>
      <c r="C133" s="252" t="s">
        <v>136</v>
      </c>
      <c r="D133" s="251" t="s">
        <v>1598</v>
      </c>
      <c r="E133" s="252" t="s">
        <v>23</v>
      </c>
      <c r="F133" s="476">
        <v>3.7999999999999999E-2</v>
      </c>
      <c r="G133" s="488">
        <v>71.45</v>
      </c>
      <c r="H133" s="488">
        <v>2.71</v>
      </c>
    </row>
    <row r="134" spans="1:8" s="479" customFormat="1">
      <c r="A134" s="237"/>
      <c r="B134" s="237"/>
      <c r="C134" s="237"/>
      <c r="D134" s="237"/>
      <c r="E134" s="237"/>
      <c r="F134" s="566" t="s">
        <v>1022</v>
      </c>
      <c r="G134" s="566"/>
      <c r="H134" s="478">
        <v>29.26</v>
      </c>
    </row>
    <row r="135" spans="1:8" s="479" customFormat="1" ht="15.75" thickBot="1">
      <c r="A135" s="237"/>
      <c r="B135" s="237"/>
      <c r="C135" s="237"/>
      <c r="D135" s="237"/>
      <c r="E135" s="237"/>
      <c r="F135" s="565" t="s">
        <v>1023</v>
      </c>
      <c r="G135" s="565"/>
      <c r="H135" s="478">
        <v>138.94</v>
      </c>
    </row>
    <row r="136" spans="1:8" ht="15.75" thickTop="1">
      <c r="A136" s="254"/>
      <c r="B136" s="254"/>
      <c r="C136" s="254"/>
      <c r="D136" s="254"/>
      <c r="E136" s="254"/>
      <c r="F136" s="254"/>
      <c r="G136" s="254"/>
      <c r="H136" s="254"/>
    </row>
    <row r="137" spans="1:8">
      <c r="A137" s="407" t="s">
        <v>535</v>
      </c>
      <c r="B137" s="562" t="s">
        <v>536</v>
      </c>
      <c r="C137" s="562" t="s">
        <v>537</v>
      </c>
      <c r="D137" s="562" t="s">
        <v>538</v>
      </c>
      <c r="E137" s="562" t="s">
        <v>539</v>
      </c>
      <c r="F137" s="562" t="s">
        <v>540</v>
      </c>
      <c r="G137" s="562" t="s">
        <v>1016</v>
      </c>
      <c r="H137" s="562" t="s">
        <v>542</v>
      </c>
    </row>
    <row r="138" spans="1:8">
      <c r="A138" s="407" t="s">
        <v>730</v>
      </c>
      <c r="B138" s="563"/>
      <c r="C138" s="563"/>
      <c r="D138" s="563"/>
      <c r="E138" s="563"/>
      <c r="F138" s="563"/>
      <c r="G138" s="563"/>
      <c r="H138" s="563"/>
    </row>
    <row r="139" spans="1:8" ht="51">
      <c r="A139" s="250" t="s">
        <v>1017</v>
      </c>
      <c r="B139" s="250" t="s">
        <v>728</v>
      </c>
      <c r="C139" s="250" t="s">
        <v>546</v>
      </c>
      <c r="D139" s="249" t="s">
        <v>484</v>
      </c>
      <c r="E139" s="250" t="s">
        <v>208</v>
      </c>
      <c r="F139" s="475">
        <v>1</v>
      </c>
      <c r="G139" s="487">
        <v>233.72</v>
      </c>
      <c r="H139" s="487">
        <v>233.72</v>
      </c>
    </row>
    <row r="140" spans="1:8" s="477" customFormat="1" ht="25.5">
      <c r="A140" s="252" t="s">
        <v>1018</v>
      </c>
      <c r="B140" s="252" t="s">
        <v>1108</v>
      </c>
      <c r="C140" s="252" t="s">
        <v>9</v>
      </c>
      <c r="D140" s="251" t="s">
        <v>480</v>
      </c>
      <c r="E140" s="252" t="s">
        <v>225</v>
      </c>
      <c r="F140" s="476">
        <v>0.21299999999999999</v>
      </c>
      <c r="G140" s="488">
        <v>25.66</v>
      </c>
      <c r="H140" s="488">
        <v>5.46</v>
      </c>
    </row>
    <row r="141" spans="1:8" s="477" customFormat="1" ht="25.5">
      <c r="A141" s="252" t="s">
        <v>1018</v>
      </c>
      <c r="B141" s="252" t="s">
        <v>1025</v>
      </c>
      <c r="C141" s="252" t="s">
        <v>9</v>
      </c>
      <c r="D141" s="251" t="s">
        <v>211</v>
      </c>
      <c r="E141" s="252" t="s">
        <v>225</v>
      </c>
      <c r="F141" s="476">
        <v>0.106</v>
      </c>
      <c r="G141" s="488">
        <v>17.829999999999998</v>
      </c>
      <c r="H141" s="488">
        <v>1.88</v>
      </c>
    </row>
    <row r="142" spans="1:8" s="477" customFormat="1" ht="25.5">
      <c r="A142" s="252" t="s">
        <v>1028</v>
      </c>
      <c r="B142" s="252" t="s">
        <v>1109</v>
      </c>
      <c r="C142" s="252" t="s">
        <v>9</v>
      </c>
      <c r="D142" s="251" t="s">
        <v>483</v>
      </c>
      <c r="E142" s="252" t="s">
        <v>209</v>
      </c>
      <c r="F142" s="476">
        <v>19.55</v>
      </c>
      <c r="G142" s="488">
        <v>11.58</v>
      </c>
      <c r="H142" s="488">
        <v>226.38</v>
      </c>
    </row>
    <row r="143" spans="1:8" s="479" customFormat="1">
      <c r="A143" s="237"/>
      <c r="B143" s="237"/>
      <c r="C143" s="237"/>
      <c r="D143" s="237"/>
      <c r="E143" s="237"/>
      <c r="F143" s="566" t="s">
        <v>1022</v>
      </c>
      <c r="G143" s="566"/>
      <c r="H143" s="478">
        <v>62.35</v>
      </c>
    </row>
    <row r="144" spans="1:8" s="479" customFormat="1" ht="15.75" thickBot="1">
      <c r="A144" s="237"/>
      <c r="B144" s="237"/>
      <c r="C144" s="237"/>
      <c r="D144" s="237"/>
      <c r="E144" s="237"/>
      <c r="F144" s="565" t="s">
        <v>1023</v>
      </c>
      <c r="G144" s="565"/>
      <c r="H144" s="478">
        <v>296.07</v>
      </c>
    </row>
    <row r="145" spans="1:8" s="479" customFormat="1" ht="15.75" thickTop="1">
      <c r="A145" s="407" t="s">
        <v>535</v>
      </c>
      <c r="B145" s="564" t="s">
        <v>536</v>
      </c>
      <c r="C145" s="564" t="s">
        <v>537</v>
      </c>
      <c r="D145" s="564" t="s">
        <v>538</v>
      </c>
      <c r="E145" s="564" t="s">
        <v>539</v>
      </c>
      <c r="F145" s="564" t="s">
        <v>540</v>
      </c>
      <c r="G145" s="564" t="s">
        <v>1016</v>
      </c>
      <c r="H145" s="564" t="s">
        <v>542</v>
      </c>
    </row>
    <row r="146" spans="1:8" s="479" customFormat="1">
      <c r="A146" s="264"/>
      <c r="B146" s="563"/>
      <c r="C146" s="563"/>
      <c r="D146" s="563"/>
      <c r="E146" s="563"/>
      <c r="F146" s="563"/>
      <c r="G146" s="563"/>
      <c r="H146" s="563"/>
    </row>
    <row r="147" spans="1:8" s="479" customFormat="1">
      <c r="A147" s="407" t="s">
        <v>1563</v>
      </c>
      <c r="B147" s="563"/>
      <c r="C147" s="563"/>
      <c r="D147" s="563"/>
      <c r="E147" s="563"/>
      <c r="F147" s="563"/>
      <c r="G147" s="563"/>
      <c r="H147" s="563"/>
    </row>
    <row r="148" spans="1:8" s="479" customFormat="1">
      <c r="A148" s="250" t="s">
        <v>1017</v>
      </c>
      <c r="B148" s="250" t="s">
        <v>1564</v>
      </c>
      <c r="C148" s="250" t="s">
        <v>546</v>
      </c>
      <c r="D148" s="249" t="s">
        <v>1565</v>
      </c>
      <c r="E148" s="250" t="s">
        <v>208</v>
      </c>
      <c r="F148" s="475">
        <v>1</v>
      </c>
      <c r="G148" s="487">
        <v>153.56</v>
      </c>
      <c r="H148" s="487">
        <v>153.56</v>
      </c>
    </row>
    <row r="149" spans="1:8" s="481" customFormat="1" ht="25.5">
      <c r="A149" s="252" t="s">
        <v>1018</v>
      </c>
      <c r="B149" s="252" t="s">
        <v>1025</v>
      </c>
      <c r="C149" s="252" t="s">
        <v>9</v>
      </c>
      <c r="D149" s="251" t="s">
        <v>211</v>
      </c>
      <c r="E149" s="252" t="s">
        <v>225</v>
      </c>
      <c r="F149" s="476">
        <v>1.1133999999999999</v>
      </c>
      <c r="G149" s="488">
        <v>17.829999999999998</v>
      </c>
      <c r="H149" s="488">
        <v>19.850000000000001</v>
      </c>
    </row>
    <row r="150" spans="1:8" s="481" customFormat="1" ht="25.5">
      <c r="A150" s="252" t="s">
        <v>1028</v>
      </c>
      <c r="B150" s="252" t="s">
        <v>1078</v>
      </c>
      <c r="C150" s="252" t="s">
        <v>9</v>
      </c>
      <c r="D150" s="251" t="s">
        <v>1079</v>
      </c>
      <c r="E150" s="252" t="s">
        <v>15</v>
      </c>
      <c r="F150" s="476">
        <v>1.1000000000000001</v>
      </c>
      <c r="G150" s="488">
        <v>121.56</v>
      </c>
      <c r="H150" s="488">
        <v>133.71</v>
      </c>
    </row>
    <row r="151" spans="1:8" s="479" customFormat="1">
      <c r="A151" s="237"/>
      <c r="B151" s="237"/>
      <c r="C151" s="237"/>
      <c r="D151" s="237"/>
      <c r="E151" s="237"/>
      <c r="F151" s="566" t="s">
        <v>1022</v>
      </c>
      <c r="G151" s="566"/>
      <c r="H151" s="478">
        <v>40.96</v>
      </c>
    </row>
    <row r="152" spans="1:8" s="479" customFormat="1" ht="15.75" thickBot="1">
      <c r="A152" s="237"/>
      <c r="B152" s="237"/>
      <c r="C152" s="237"/>
      <c r="D152" s="237"/>
      <c r="E152" s="237"/>
      <c r="F152" s="565" t="s">
        <v>1023</v>
      </c>
      <c r="G152" s="565"/>
      <c r="H152" s="478">
        <v>194.52</v>
      </c>
    </row>
    <row r="153" spans="1:8" ht="15.75" thickTop="1">
      <c r="A153" s="407" t="s">
        <v>535</v>
      </c>
      <c r="B153" s="564" t="s">
        <v>536</v>
      </c>
      <c r="C153" s="564" t="s">
        <v>537</v>
      </c>
      <c r="D153" s="564" t="s">
        <v>538</v>
      </c>
      <c r="E153" s="564" t="s">
        <v>539</v>
      </c>
      <c r="F153" s="564" t="s">
        <v>540</v>
      </c>
      <c r="G153" s="564" t="s">
        <v>1016</v>
      </c>
      <c r="H153" s="564" t="s">
        <v>542</v>
      </c>
    </row>
    <row r="154" spans="1:8">
      <c r="A154" s="264"/>
      <c r="B154" s="563"/>
      <c r="C154" s="563"/>
      <c r="D154" s="563"/>
      <c r="E154" s="563"/>
      <c r="F154" s="563"/>
      <c r="G154" s="563"/>
      <c r="H154" s="563"/>
    </row>
    <row r="155" spans="1:8">
      <c r="A155" s="407" t="s">
        <v>761</v>
      </c>
      <c r="B155" s="563"/>
      <c r="C155" s="563"/>
      <c r="D155" s="563"/>
      <c r="E155" s="563"/>
      <c r="F155" s="563"/>
      <c r="G155" s="563"/>
      <c r="H155" s="563"/>
    </row>
    <row r="156" spans="1:8">
      <c r="A156" s="250" t="s">
        <v>1017</v>
      </c>
      <c r="B156" s="250" t="s">
        <v>762</v>
      </c>
      <c r="C156" s="250" t="s">
        <v>546</v>
      </c>
      <c r="D156" s="249" t="s">
        <v>763</v>
      </c>
      <c r="E156" s="250" t="s">
        <v>208</v>
      </c>
      <c r="F156" s="475">
        <v>1</v>
      </c>
      <c r="G156" s="487">
        <v>26.13</v>
      </c>
      <c r="H156" s="487">
        <v>26.13</v>
      </c>
    </row>
    <row r="157" spans="1:8" s="477" customFormat="1" ht="25.5">
      <c r="A157" s="252" t="s">
        <v>1018</v>
      </c>
      <c r="B157" s="252" t="s">
        <v>1110</v>
      </c>
      <c r="C157" s="252" t="s">
        <v>9</v>
      </c>
      <c r="D157" s="251" t="s">
        <v>446</v>
      </c>
      <c r="E157" s="252" t="s">
        <v>225</v>
      </c>
      <c r="F157" s="476">
        <v>0.36699999999999999</v>
      </c>
      <c r="G157" s="488">
        <v>23.1</v>
      </c>
      <c r="H157" s="488">
        <v>8.4700000000000006</v>
      </c>
    </row>
    <row r="158" spans="1:8" s="477" customFormat="1" ht="25.5">
      <c r="A158" s="252" t="s">
        <v>1018</v>
      </c>
      <c r="B158" s="252" t="s">
        <v>1025</v>
      </c>
      <c r="C158" s="252" t="s">
        <v>9</v>
      </c>
      <c r="D158" s="251" t="s">
        <v>211</v>
      </c>
      <c r="E158" s="252" t="s">
        <v>225</v>
      </c>
      <c r="F158" s="476">
        <v>0.13800000000000001</v>
      </c>
      <c r="G158" s="488">
        <v>17.829999999999998</v>
      </c>
      <c r="H158" s="488">
        <v>2.46</v>
      </c>
    </row>
    <row r="159" spans="1:8" s="477" customFormat="1" ht="25.5">
      <c r="A159" s="252" t="s">
        <v>1028</v>
      </c>
      <c r="B159" s="252" t="s">
        <v>1111</v>
      </c>
      <c r="C159" s="252" t="s">
        <v>9</v>
      </c>
      <c r="D159" s="251" t="s">
        <v>445</v>
      </c>
      <c r="E159" s="252" t="s">
        <v>209</v>
      </c>
      <c r="F159" s="476">
        <v>2.2799999999999998</v>
      </c>
      <c r="G159" s="488">
        <v>6.67</v>
      </c>
      <c r="H159" s="488">
        <v>15.2</v>
      </c>
    </row>
    <row r="160" spans="1:8" s="479" customFormat="1">
      <c r="A160" s="237"/>
      <c r="B160" s="237"/>
      <c r="C160" s="237"/>
      <c r="D160" s="237"/>
      <c r="E160" s="237"/>
      <c r="F160" s="566" t="s">
        <v>1022</v>
      </c>
      <c r="G160" s="566"/>
      <c r="H160" s="478">
        <v>6.97</v>
      </c>
    </row>
    <row r="161" spans="1:8" s="479" customFormat="1" ht="15.75" thickBot="1">
      <c r="A161" s="237"/>
      <c r="B161" s="237"/>
      <c r="C161" s="237"/>
      <c r="D161" s="237"/>
      <c r="E161" s="237"/>
      <c r="F161" s="565" t="s">
        <v>1023</v>
      </c>
      <c r="G161" s="565"/>
      <c r="H161" s="478">
        <v>33.1</v>
      </c>
    </row>
    <row r="162" spans="1:8" ht="15.75" thickTop="1">
      <c r="A162" s="254"/>
      <c r="B162" s="254"/>
      <c r="C162" s="254"/>
      <c r="D162" s="254"/>
      <c r="E162" s="254"/>
      <c r="F162" s="254"/>
      <c r="G162" s="254"/>
      <c r="H162" s="254"/>
    </row>
    <row r="163" spans="1:8">
      <c r="A163" s="407" t="s">
        <v>535</v>
      </c>
      <c r="B163" s="562" t="s">
        <v>536</v>
      </c>
      <c r="C163" s="562" t="s">
        <v>537</v>
      </c>
      <c r="D163" s="562" t="s">
        <v>538</v>
      </c>
      <c r="E163" s="562" t="s">
        <v>539</v>
      </c>
      <c r="F163" s="562" t="s">
        <v>540</v>
      </c>
      <c r="G163" s="562" t="s">
        <v>1016</v>
      </c>
      <c r="H163" s="562" t="s">
        <v>542</v>
      </c>
    </row>
    <row r="164" spans="1:8">
      <c r="A164" s="407" t="s">
        <v>796</v>
      </c>
      <c r="B164" s="563"/>
      <c r="C164" s="563"/>
      <c r="D164" s="563"/>
      <c r="E164" s="563"/>
      <c r="F164" s="563"/>
      <c r="G164" s="563"/>
      <c r="H164" s="563"/>
    </row>
    <row r="165" spans="1:8" ht="51">
      <c r="A165" s="250" t="s">
        <v>1017</v>
      </c>
      <c r="B165" s="250" t="s">
        <v>1569</v>
      </c>
      <c r="C165" s="250" t="s">
        <v>546</v>
      </c>
      <c r="D165" s="249" t="s">
        <v>398</v>
      </c>
      <c r="E165" s="250" t="s">
        <v>441</v>
      </c>
      <c r="F165" s="475">
        <v>1</v>
      </c>
      <c r="G165" s="487">
        <v>135574.79</v>
      </c>
      <c r="H165" s="487">
        <v>135574.79</v>
      </c>
    </row>
    <row r="166" spans="1:8" s="477" customFormat="1" ht="25.5">
      <c r="A166" s="252" t="s">
        <v>1018</v>
      </c>
      <c r="B166" s="252" t="s">
        <v>571</v>
      </c>
      <c r="C166" s="252" t="s">
        <v>9</v>
      </c>
      <c r="D166" s="251" t="s">
        <v>572</v>
      </c>
      <c r="E166" s="252" t="s">
        <v>15</v>
      </c>
      <c r="F166" s="476">
        <v>4.84</v>
      </c>
      <c r="G166" s="488">
        <v>70.53</v>
      </c>
      <c r="H166" s="488">
        <v>341.36</v>
      </c>
    </row>
    <row r="167" spans="1:8" s="477" customFormat="1" ht="25.5">
      <c r="A167" s="252" t="s">
        <v>1018</v>
      </c>
      <c r="B167" s="252" t="s">
        <v>574</v>
      </c>
      <c r="C167" s="252" t="s">
        <v>9</v>
      </c>
      <c r="D167" s="251" t="s">
        <v>575</v>
      </c>
      <c r="E167" s="252" t="s">
        <v>15</v>
      </c>
      <c r="F167" s="476">
        <v>2</v>
      </c>
      <c r="G167" s="488">
        <v>31.38</v>
      </c>
      <c r="H167" s="488">
        <v>62.76</v>
      </c>
    </row>
    <row r="168" spans="1:8" s="477" customFormat="1" ht="25.5">
      <c r="A168" s="252" t="s">
        <v>1018</v>
      </c>
      <c r="B168" s="252" t="s">
        <v>1112</v>
      </c>
      <c r="C168" s="252" t="s">
        <v>9</v>
      </c>
      <c r="D168" s="251" t="s">
        <v>1113</v>
      </c>
      <c r="E168" s="252" t="s">
        <v>209</v>
      </c>
      <c r="F168" s="476">
        <v>221.18</v>
      </c>
      <c r="G168" s="488">
        <v>11.45</v>
      </c>
      <c r="H168" s="488">
        <v>2532.5100000000002</v>
      </c>
    </row>
    <row r="169" spans="1:8" s="477" customFormat="1" ht="25.5">
      <c r="A169" s="252" t="s">
        <v>1018</v>
      </c>
      <c r="B169" s="252" t="s">
        <v>599</v>
      </c>
      <c r="C169" s="252" t="s">
        <v>9</v>
      </c>
      <c r="D169" s="251" t="s">
        <v>600</v>
      </c>
      <c r="E169" s="252" t="s">
        <v>10</v>
      </c>
      <c r="F169" s="476">
        <v>8</v>
      </c>
      <c r="G169" s="488">
        <v>131.78</v>
      </c>
      <c r="H169" s="488">
        <v>1054.24</v>
      </c>
    </row>
    <row r="170" spans="1:8" s="477" customFormat="1" ht="38.25">
      <c r="A170" s="252" t="s">
        <v>1018</v>
      </c>
      <c r="B170" s="252" t="s">
        <v>623</v>
      </c>
      <c r="C170" s="252" t="s">
        <v>9</v>
      </c>
      <c r="D170" s="251" t="s">
        <v>624</v>
      </c>
      <c r="E170" s="252" t="s">
        <v>15</v>
      </c>
      <c r="F170" s="476">
        <v>4</v>
      </c>
      <c r="G170" s="488">
        <v>464.77</v>
      </c>
      <c r="H170" s="488">
        <v>1859.08</v>
      </c>
    </row>
    <row r="171" spans="1:8" s="477" customFormat="1" ht="25.5">
      <c r="A171" s="252" t="s">
        <v>1018</v>
      </c>
      <c r="B171" s="252" t="s">
        <v>626</v>
      </c>
      <c r="C171" s="252" t="s">
        <v>9</v>
      </c>
      <c r="D171" s="251" t="s">
        <v>627</v>
      </c>
      <c r="E171" s="252" t="s">
        <v>15</v>
      </c>
      <c r="F171" s="476">
        <v>4</v>
      </c>
      <c r="G171" s="488">
        <v>181.21</v>
      </c>
      <c r="H171" s="488">
        <v>724.84</v>
      </c>
    </row>
    <row r="172" spans="1:8" s="477" customFormat="1" ht="51">
      <c r="A172" s="252" t="s">
        <v>1028</v>
      </c>
      <c r="B172" s="252" t="s">
        <v>1114</v>
      </c>
      <c r="C172" s="252" t="s">
        <v>546</v>
      </c>
      <c r="D172" s="251" t="s">
        <v>399</v>
      </c>
      <c r="E172" s="252" t="s">
        <v>441</v>
      </c>
      <c r="F172" s="476">
        <v>1</v>
      </c>
      <c r="G172" s="488">
        <v>129000</v>
      </c>
      <c r="H172" s="488">
        <v>129000</v>
      </c>
    </row>
    <row r="173" spans="1:8" s="479" customFormat="1">
      <c r="A173" s="237"/>
      <c r="B173" s="237"/>
      <c r="C173" s="237"/>
      <c r="D173" s="237"/>
      <c r="E173" s="237"/>
      <c r="F173" s="566" t="s">
        <v>1022</v>
      </c>
      <c r="G173" s="566"/>
      <c r="H173" s="478">
        <v>36171.35</v>
      </c>
    </row>
    <row r="174" spans="1:8" s="479" customFormat="1" ht="15.75" thickBot="1">
      <c r="A174" s="237"/>
      <c r="B174" s="237"/>
      <c r="C174" s="237"/>
      <c r="D174" s="237"/>
      <c r="E174" s="237"/>
      <c r="F174" s="565" t="s">
        <v>1023</v>
      </c>
      <c r="G174" s="565"/>
      <c r="H174" s="478">
        <v>171746.14</v>
      </c>
    </row>
    <row r="175" spans="1:8" ht="15.75" thickTop="1">
      <c r="A175" s="254"/>
      <c r="B175" s="254"/>
      <c r="C175" s="254"/>
      <c r="D175" s="254"/>
      <c r="E175" s="254"/>
      <c r="F175" s="254"/>
      <c r="G175" s="254"/>
      <c r="H175" s="254"/>
    </row>
    <row r="176" spans="1:8">
      <c r="A176" s="407" t="s">
        <v>535</v>
      </c>
      <c r="B176" s="562" t="s">
        <v>536</v>
      </c>
      <c r="C176" s="562" t="s">
        <v>537</v>
      </c>
      <c r="D176" s="562" t="s">
        <v>538</v>
      </c>
      <c r="E176" s="562" t="s">
        <v>539</v>
      </c>
      <c r="F176" s="562" t="s">
        <v>540</v>
      </c>
      <c r="G176" s="562" t="s">
        <v>1016</v>
      </c>
      <c r="H176" s="562" t="s">
        <v>542</v>
      </c>
    </row>
    <row r="177" spans="1:8">
      <c r="A177" s="407" t="s">
        <v>866</v>
      </c>
      <c r="B177" s="563"/>
      <c r="C177" s="563"/>
      <c r="D177" s="563"/>
      <c r="E177" s="563"/>
      <c r="F177" s="563"/>
      <c r="G177" s="563"/>
      <c r="H177" s="563"/>
    </row>
    <row r="178" spans="1:8">
      <c r="A178" s="250" t="s">
        <v>1017</v>
      </c>
      <c r="B178" s="250" t="s">
        <v>867</v>
      </c>
      <c r="C178" s="250" t="s">
        <v>546</v>
      </c>
      <c r="D178" s="249" t="s">
        <v>868</v>
      </c>
      <c r="E178" s="250" t="s">
        <v>441</v>
      </c>
      <c r="F178" s="475">
        <v>1</v>
      </c>
      <c r="G178" s="487">
        <v>75.98</v>
      </c>
      <c r="H178" s="487">
        <v>75.98</v>
      </c>
    </row>
    <row r="179" spans="1:8" s="477" customFormat="1" ht="25.5">
      <c r="A179" s="252" t="s">
        <v>1018</v>
      </c>
      <c r="B179" s="252" t="s">
        <v>1115</v>
      </c>
      <c r="C179" s="252" t="s">
        <v>9</v>
      </c>
      <c r="D179" s="251" t="s">
        <v>450</v>
      </c>
      <c r="E179" s="252" t="s">
        <v>225</v>
      </c>
      <c r="F179" s="476">
        <v>0.15</v>
      </c>
      <c r="G179" s="488">
        <v>21.42</v>
      </c>
      <c r="H179" s="488">
        <v>3.21</v>
      </c>
    </row>
    <row r="180" spans="1:8" s="477" customFormat="1" ht="25.5">
      <c r="A180" s="252" t="s">
        <v>1028</v>
      </c>
      <c r="B180" s="252" t="s">
        <v>1116</v>
      </c>
      <c r="C180" s="252" t="s">
        <v>9</v>
      </c>
      <c r="D180" s="251" t="s">
        <v>1117</v>
      </c>
      <c r="E180" s="252" t="s">
        <v>448</v>
      </c>
      <c r="F180" s="476">
        <v>1</v>
      </c>
      <c r="G180" s="488">
        <v>72.77</v>
      </c>
      <c r="H180" s="488">
        <v>72.77</v>
      </c>
    </row>
    <row r="181" spans="1:8" s="479" customFormat="1">
      <c r="A181" s="237"/>
      <c r="B181" s="237"/>
      <c r="C181" s="237"/>
      <c r="D181" s="237"/>
      <c r="E181" s="237"/>
      <c r="F181" s="566" t="s">
        <v>1022</v>
      </c>
      <c r="G181" s="566"/>
      <c r="H181" s="478">
        <v>20.27</v>
      </c>
    </row>
    <row r="182" spans="1:8" s="479" customFormat="1" ht="15.75" thickBot="1">
      <c r="A182" s="237"/>
      <c r="B182" s="237"/>
      <c r="C182" s="237"/>
      <c r="D182" s="237"/>
      <c r="E182" s="237"/>
      <c r="F182" s="565" t="s">
        <v>1023</v>
      </c>
      <c r="G182" s="565"/>
      <c r="H182" s="478">
        <v>96.25</v>
      </c>
    </row>
    <row r="183" spans="1:8" ht="15.75" thickTop="1">
      <c r="A183" s="254"/>
      <c r="B183" s="254"/>
      <c r="C183" s="254"/>
      <c r="D183" s="254"/>
      <c r="E183" s="254"/>
      <c r="F183" s="254"/>
      <c r="G183" s="254"/>
      <c r="H183" s="254"/>
    </row>
    <row r="184" spans="1:8">
      <c r="A184" s="407" t="s">
        <v>535</v>
      </c>
      <c r="B184" s="562" t="s">
        <v>536</v>
      </c>
      <c r="C184" s="562" t="s">
        <v>537</v>
      </c>
      <c r="D184" s="562" t="s">
        <v>538</v>
      </c>
      <c r="E184" s="562" t="s">
        <v>539</v>
      </c>
      <c r="F184" s="562" t="s">
        <v>540</v>
      </c>
      <c r="G184" s="562" t="s">
        <v>1016</v>
      </c>
      <c r="H184" s="562" t="s">
        <v>542</v>
      </c>
    </row>
    <row r="185" spans="1:8">
      <c r="A185" s="407" t="s">
        <v>882</v>
      </c>
      <c r="B185" s="563"/>
      <c r="C185" s="563"/>
      <c r="D185" s="563"/>
      <c r="E185" s="563"/>
      <c r="F185" s="563"/>
      <c r="G185" s="563"/>
      <c r="H185" s="563"/>
    </row>
    <row r="186" spans="1:8" ht="25.5">
      <c r="A186" s="250" t="s">
        <v>1017</v>
      </c>
      <c r="B186" s="250" t="s">
        <v>1118</v>
      </c>
      <c r="C186" s="250" t="s">
        <v>546</v>
      </c>
      <c r="D186" s="249" t="s">
        <v>881</v>
      </c>
      <c r="E186" s="250" t="s">
        <v>441</v>
      </c>
      <c r="F186" s="475">
        <v>1</v>
      </c>
      <c r="G186" s="487">
        <v>45.26</v>
      </c>
      <c r="H186" s="487">
        <v>45.26</v>
      </c>
    </row>
    <row r="187" spans="1:8" s="477" customFormat="1" ht="25.5">
      <c r="A187" s="252" t="s">
        <v>1018</v>
      </c>
      <c r="B187" s="252" t="s">
        <v>1115</v>
      </c>
      <c r="C187" s="252" t="s">
        <v>9</v>
      </c>
      <c r="D187" s="251" t="s">
        <v>450</v>
      </c>
      <c r="E187" s="252" t="s">
        <v>225</v>
      </c>
      <c r="F187" s="476">
        <v>0.1525</v>
      </c>
      <c r="G187" s="488">
        <v>21.42</v>
      </c>
      <c r="H187" s="488">
        <v>3.26</v>
      </c>
    </row>
    <row r="188" spans="1:8" s="477" customFormat="1" ht="25.5">
      <c r="A188" s="252" t="s">
        <v>1018</v>
      </c>
      <c r="B188" s="252" t="s">
        <v>1025</v>
      </c>
      <c r="C188" s="252" t="s">
        <v>9</v>
      </c>
      <c r="D188" s="251" t="s">
        <v>211</v>
      </c>
      <c r="E188" s="252" t="s">
        <v>225</v>
      </c>
      <c r="F188" s="476">
        <v>4.8099999999999997E-2</v>
      </c>
      <c r="G188" s="488">
        <v>17.829999999999998</v>
      </c>
      <c r="H188" s="488">
        <v>0.85</v>
      </c>
    </row>
    <row r="189" spans="1:8" s="477" customFormat="1" ht="38.25">
      <c r="A189" s="252" t="s">
        <v>1028</v>
      </c>
      <c r="B189" s="252" t="s">
        <v>1119</v>
      </c>
      <c r="C189" s="252" t="s">
        <v>9</v>
      </c>
      <c r="D189" s="251" t="s">
        <v>1120</v>
      </c>
      <c r="E189" s="252" t="s">
        <v>448</v>
      </c>
      <c r="F189" s="476">
        <v>1</v>
      </c>
      <c r="G189" s="488">
        <v>41.09</v>
      </c>
      <c r="H189" s="488">
        <v>41.09</v>
      </c>
    </row>
    <row r="190" spans="1:8" s="477" customFormat="1">
      <c r="A190" s="252" t="s">
        <v>1028</v>
      </c>
      <c r="B190" s="252" t="s">
        <v>1121</v>
      </c>
      <c r="C190" s="252" t="s">
        <v>9</v>
      </c>
      <c r="D190" s="251" t="s">
        <v>449</v>
      </c>
      <c r="E190" s="252" t="s">
        <v>448</v>
      </c>
      <c r="F190" s="476">
        <v>2.1000000000000001E-2</v>
      </c>
      <c r="G190" s="488">
        <v>3.25</v>
      </c>
      <c r="H190" s="488">
        <v>0.06</v>
      </c>
    </row>
    <row r="191" spans="1:8" s="479" customFormat="1">
      <c r="A191" s="237"/>
      <c r="B191" s="237"/>
      <c r="C191" s="237"/>
      <c r="D191" s="237"/>
      <c r="E191" s="237"/>
      <c r="F191" s="566" t="s">
        <v>1022</v>
      </c>
      <c r="G191" s="566"/>
      <c r="H191" s="478">
        <v>12.07</v>
      </c>
    </row>
    <row r="192" spans="1:8" s="479" customFormat="1" ht="15.75" thickBot="1">
      <c r="A192" s="237"/>
      <c r="B192" s="237"/>
      <c r="C192" s="237"/>
      <c r="D192" s="237"/>
      <c r="E192" s="237"/>
      <c r="F192" s="565" t="s">
        <v>1023</v>
      </c>
      <c r="G192" s="565"/>
      <c r="H192" s="478">
        <v>57.33</v>
      </c>
    </row>
    <row r="193" spans="1:8" ht="16.5" thickTop="1" thickBot="1">
      <c r="A193" s="254"/>
      <c r="B193" s="254"/>
      <c r="C193" s="254"/>
      <c r="D193" s="254"/>
      <c r="E193" s="254"/>
      <c r="F193" s="254"/>
      <c r="G193" s="254"/>
      <c r="H193" s="254"/>
    </row>
    <row r="194" spans="1:8" ht="15.75" thickTop="1">
      <c r="A194" s="254"/>
      <c r="B194" s="254"/>
      <c r="C194" s="254"/>
      <c r="D194" s="254"/>
      <c r="E194" s="254"/>
      <c r="F194" s="254"/>
      <c r="G194" s="254"/>
      <c r="H194" s="254"/>
    </row>
    <row r="195" spans="1:8">
      <c r="A195" s="407" t="s">
        <v>535</v>
      </c>
      <c r="B195" s="562" t="s">
        <v>536</v>
      </c>
      <c r="C195" s="562" t="s">
        <v>537</v>
      </c>
      <c r="D195" s="562" t="s">
        <v>538</v>
      </c>
      <c r="E195" s="562" t="s">
        <v>539</v>
      </c>
      <c r="F195" s="562" t="s">
        <v>540</v>
      </c>
      <c r="G195" s="562" t="s">
        <v>1016</v>
      </c>
      <c r="H195" s="562" t="s">
        <v>542</v>
      </c>
    </row>
    <row r="196" spans="1:8">
      <c r="A196" s="407" t="s">
        <v>896</v>
      </c>
      <c r="B196" s="563"/>
      <c r="C196" s="563"/>
      <c r="D196" s="563"/>
      <c r="E196" s="563"/>
      <c r="F196" s="563"/>
      <c r="G196" s="563"/>
      <c r="H196" s="563"/>
    </row>
    <row r="197" spans="1:8" ht="25.5">
      <c r="A197" s="250" t="s">
        <v>1017</v>
      </c>
      <c r="B197" s="250" t="s">
        <v>1122</v>
      </c>
      <c r="C197" s="250" t="s">
        <v>546</v>
      </c>
      <c r="D197" s="249" t="s">
        <v>897</v>
      </c>
      <c r="E197" s="250" t="s">
        <v>441</v>
      </c>
      <c r="F197" s="475">
        <v>1</v>
      </c>
      <c r="G197" s="487">
        <v>121.08</v>
      </c>
      <c r="H197" s="487">
        <v>121.08</v>
      </c>
    </row>
    <row r="198" spans="1:8" s="477" customFormat="1" ht="25.5">
      <c r="A198" s="252" t="s">
        <v>1018</v>
      </c>
      <c r="B198" s="252" t="s">
        <v>1123</v>
      </c>
      <c r="C198" s="252" t="s">
        <v>9</v>
      </c>
      <c r="D198" s="251" t="s">
        <v>1124</v>
      </c>
      <c r="E198" s="252" t="s">
        <v>225</v>
      </c>
      <c r="F198" s="476">
        <v>0.32590000000000002</v>
      </c>
      <c r="G198" s="488">
        <v>17.420000000000002</v>
      </c>
      <c r="H198" s="488">
        <v>5.67</v>
      </c>
    </row>
    <row r="199" spans="1:8" s="477" customFormat="1" ht="25.5">
      <c r="A199" s="252" t="s">
        <v>1018</v>
      </c>
      <c r="B199" s="252" t="s">
        <v>1125</v>
      </c>
      <c r="C199" s="252" t="s">
        <v>9</v>
      </c>
      <c r="D199" s="251" t="s">
        <v>1126</v>
      </c>
      <c r="E199" s="252" t="s">
        <v>225</v>
      </c>
      <c r="F199" s="476">
        <v>0.32590000000000002</v>
      </c>
      <c r="G199" s="488">
        <v>22.27</v>
      </c>
      <c r="H199" s="488">
        <v>7.25</v>
      </c>
    </row>
    <row r="200" spans="1:8" s="477" customFormat="1" ht="38.25">
      <c r="A200" s="252" t="s">
        <v>1018</v>
      </c>
      <c r="B200" s="252" t="s">
        <v>1127</v>
      </c>
      <c r="C200" s="252" t="s">
        <v>9</v>
      </c>
      <c r="D200" s="251" t="s">
        <v>1128</v>
      </c>
      <c r="E200" s="252" t="s">
        <v>15</v>
      </c>
      <c r="F200" s="476">
        <v>4.4000000000000003E-3</v>
      </c>
      <c r="G200" s="488">
        <v>680.47</v>
      </c>
      <c r="H200" s="488">
        <v>2.99</v>
      </c>
    </row>
    <row r="201" spans="1:8" s="477" customFormat="1" ht="25.5">
      <c r="A201" s="252" t="s">
        <v>1028</v>
      </c>
      <c r="B201" s="252" t="s">
        <v>1129</v>
      </c>
      <c r="C201" s="252" t="s">
        <v>9</v>
      </c>
      <c r="D201" s="251" t="s">
        <v>1130</v>
      </c>
      <c r="E201" s="252" t="s">
        <v>448</v>
      </c>
      <c r="F201" s="476">
        <v>1</v>
      </c>
      <c r="G201" s="488">
        <v>105.17</v>
      </c>
      <c r="H201" s="488">
        <v>105.17</v>
      </c>
    </row>
    <row r="202" spans="1:8" s="479" customFormat="1">
      <c r="A202" s="237"/>
      <c r="B202" s="237"/>
      <c r="C202" s="237"/>
      <c r="D202" s="237"/>
      <c r="E202" s="237"/>
      <c r="F202" s="566" t="s">
        <v>1022</v>
      </c>
      <c r="G202" s="566"/>
      <c r="H202" s="478">
        <v>32.299999999999997</v>
      </c>
    </row>
    <row r="203" spans="1:8" s="479" customFormat="1" ht="15.75" thickBot="1">
      <c r="A203" s="237"/>
      <c r="B203" s="237"/>
      <c r="C203" s="237"/>
      <c r="D203" s="237"/>
      <c r="E203" s="237"/>
      <c r="F203" s="565" t="s">
        <v>1023</v>
      </c>
      <c r="G203" s="565"/>
      <c r="H203" s="478">
        <v>153.38</v>
      </c>
    </row>
    <row r="204" spans="1:8" ht="15.75" thickTop="1">
      <c r="A204" s="254"/>
      <c r="B204" s="254"/>
      <c r="C204" s="254"/>
      <c r="D204" s="254"/>
      <c r="E204" s="254"/>
      <c r="F204" s="254"/>
      <c r="G204" s="254"/>
      <c r="H204" s="254"/>
    </row>
    <row r="205" spans="1:8">
      <c r="A205" s="407" t="s">
        <v>535</v>
      </c>
      <c r="B205" s="562" t="s">
        <v>536</v>
      </c>
      <c r="C205" s="562" t="s">
        <v>537</v>
      </c>
      <c r="D205" s="562" t="s">
        <v>538</v>
      </c>
      <c r="E205" s="562" t="s">
        <v>539</v>
      </c>
      <c r="F205" s="562" t="s">
        <v>540</v>
      </c>
      <c r="G205" s="562" t="s">
        <v>1016</v>
      </c>
      <c r="H205" s="562" t="s">
        <v>542</v>
      </c>
    </row>
    <row r="206" spans="1:8">
      <c r="A206" s="407" t="s">
        <v>987</v>
      </c>
      <c r="B206" s="563"/>
      <c r="C206" s="563"/>
      <c r="D206" s="563"/>
      <c r="E206" s="563"/>
      <c r="F206" s="563"/>
      <c r="G206" s="563"/>
      <c r="H206" s="563"/>
    </row>
    <row r="207" spans="1:8">
      <c r="A207" s="250" t="s">
        <v>1017</v>
      </c>
      <c r="B207" s="250" t="s">
        <v>988</v>
      </c>
      <c r="C207" s="250" t="s">
        <v>546</v>
      </c>
      <c r="D207" s="249" t="s">
        <v>989</v>
      </c>
      <c r="E207" s="250" t="s">
        <v>441</v>
      </c>
      <c r="F207" s="475">
        <v>1</v>
      </c>
      <c r="G207" s="487">
        <v>110.31</v>
      </c>
      <c r="H207" s="487">
        <v>110.31</v>
      </c>
    </row>
    <row r="208" spans="1:8" s="477" customFormat="1" ht="25.5">
      <c r="A208" s="252" t="s">
        <v>1018</v>
      </c>
      <c r="B208" s="252" t="s">
        <v>1115</v>
      </c>
      <c r="C208" s="252" t="s">
        <v>9</v>
      </c>
      <c r="D208" s="251" t="s">
        <v>450</v>
      </c>
      <c r="E208" s="252" t="s">
        <v>225</v>
      </c>
      <c r="F208" s="476">
        <v>0.98</v>
      </c>
      <c r="G208" s="488">
        <v>21.42</v>
      </c>
      <c r="H208" s="488">
        <v>20.99</v>
      </c>
    </row>
    <row r="209" spans="1:8" s="477" customFormat="1" ht="25.5">
      <c r="A209" s="252" t="s">
        <v>1018</v>
      </c>
      <c r="B209" s="252" t="s">
        <v>1025</v>
      </c>
      <c r="C209" s="252" t="s">
        <v>9</v>
      </c>
      <c r="D209" s="251" t="s">
        <v>211</v>
      </c>
      <c r="E209" s="252" t="s">
        <v>225</v>
      </c>
      <c r="F209" s="476">
        <v>0.98</v>
      </c>
      <c r="G209" s="488">
        <v>17.829999999999998</v>
      </c>
      <c r="H209" s="488">
        <v>17.47</v>
      </c>
    </row>
    <row r="210" spans="1:8" s="477" customFormat="1" ht="25.5">
      <c r="A210" s="252" t="s">
        <v>1028</v>
      </c>
      <c r="B210" s="252" t="s">
        <v>1131</v>
      </c>
      <c r="C210" s="252" t="s">
        <v>9</v>
      </c>
      <c r="D210" s="251" t="s">
        <v>1132</v>
      </c>
      <c r="E210" s="252" t="s">
        <v>448</v>
      </c>
      <c r="F210" s="476">
        <v>1</v>
      </c>
      <c r="G210" s="488">
        <v>71.849999999999994</v>
      </c>
      <c r="H210" s="488">
        <v>71.849999999999994</v>
      </c>
    </row>
    <row r="211" spans="1:8" s="479" customFormat="1">
      <c r="A211" s="260"/>
      <c r="B211" s="261"/>
      <c r="C211" s="261"/>
      <c r="D211" s="261"/>
      <c r="E211" s="261"/>
      <c r="F211" s="569" t="s">
        <v>1022</v>
      </c>
      <c r="G211" s="569"/>
      <c r="H211" s="482">
        <v>29.43</v>
      </c>
    </row>
    <row r="212" spans="1:8" s="479" customFormat="1" ht="15.75" thickBot="1">
      <c r="A212" s="262"/>
      <c r="B212" s="263"/>
      <c r="C212" s="263"/>
      <c r="D212" s="263"/>
      <c r="E212" s="263"/>
      <c r="F212" s="567" t="s">
        <v>1023</v>
      </c>
      <c r="G212" s="567"/>
      <c r="H212" s="483">
        <v>139.74</v>
      </c>
    </row>
    <row r="213" spans="1:8" ht="15.75" thickTop="1">
      <c r="A213" s="254"/>
      <c r="B213" s="254"/>
      <c r="C213" s="254"/>
      <c r="D213" s="254"/>
      <c r="E213" s="254"/>
      <c r="F213" s="254"/>
      <c r="G213" s="254"/>
      <c r="H213" s="254"/>
    </row>
    <row r="214" spans="1:8">
      <c r="A214" s="407" t="s">
        <v>535</v>
      </c>
      <c r="B214" s="562" t="s">
        <v>536</v>
      </c>
      <c r="C214" s="562" t="s">
        <v>537</v>
      </c>
      <c r="D214" s="562" t="s">
        <v>538</v>
      </c>
      <c r="E214" s="562" t="s">
        <v>539</v>
      </c>
      <c r="F214" s="562" t="s">
        <v>540</v>
      </c>
      <c r="G214" s="562" t="s">
        <v>1016</v>
      </c>
      <c r="H214" s="562" t="s">
        <v>542</v>
      </c>
    </row>
    <row r="215" spans="1:8">
      <c r="A215" s="407" t="s">
        <v>994</v>
      </c>
      <c r="B215" s="563"/>
      <c r="C215" s="563"/>
      <c r="D215" s="563"/>
      <c r="E215" s="563"/>
      <c r="F215" s="563"/>
      <c r="G215" s="563"/>
      <c r="H215" s="563"/>
    </row>
    <row r="216" spans="1:8">
      <c r="A216" s="250" t="s">
        <v>1017</v>
      </c>
      <c r="B216" s="250" t="s">
        <v>995</v>
      </c>
      <c r="C216" s="250" t="s">
        <v>546</v>
      </c>
      <c r="D216" s="249" t="s">
        <v>996</v>
      </c>
      <c r="E216" s="250" t="s">
        <v>441</v>
      </c>
      <c r="F216" s="475">
        <v>1</v>
      </c>
      <c r="G216" s="487">
        <v>1561.35</v>
      </c>
      <c r="H216" s="487">
        <v>1561.35</v>
      </c>
    </row>
    <row r="217" spans="1:8" s="477" customFormat="1" ht="25.5">
      <c r="A217" s="252" t="s">
        <v>1018</v>
      </c>
      <c r="B217" s="252" t="s">
        <v>1065</v>
      </c>
      <c r="C217" s="252" t="s">
        <v>9</v>
      </c>
      <c r="D217" s="251" t="s">
        <v>226</v>
      </c>
      <c r="E217" s="252" t="s">
        <v>225</v>
      </c>
      <c r="F217" s="476">
        <v>1.91</v>
      </c>
      <c r="G217" s="488">
        <v>22.03</v>
      </c>
      <c r="H217" s="488">
        <v>42.07</v>
      </c>
    </row>
    <row r="218" spans="1:8" s="477" customFormat="1" ht="25.5">
      <c r="A218" s="252" t="s">
        <v>1018</v>
      </c>
      <c r="B218" s="252" t="s">
        <v>1025</v>
      </c>
      <c r="C218" s="252" t="s">
        <v>9</v>
      </c>
      <c r="D218" s="251" t="s">
        <v>211</v>
      </c>
      <c r="E218" s="252" t="s">
        <v>225</v>
      </c>
      <c r="F218" s="476">
        <v>12.5</v>
      </c>
      <c r="G218" s="488">
        <v>17.829999999999998</v>
      </c>
      <c r="H218" s="488">
        <v>222.87</v>
      </c>
    </row>
    <row r="219" spans="1:8" s="477" customFormat="1" ht="25.5">
      <c r="A219" s="252" t="s">
        <v>1018</v>
      </c>
      <c r="B219" s="252" t="s">
        <v>1110</v>
      </c>
      <c r="C219" s="252" t="s">
        <v>9</v>
      </c>
      <c r="D219" s="251" t="s">
        <v>446</v>
      </c>
      <c r="E219" s="252" t="s">
        <v>225</v>
      </c>
      <c r="F219" s="476">
        <v>3.5</v>
      </c>
      <c r="G219" s="488">
        <v>23.1</v>
      </c>
      <c r="H219" s="488">
        <v>80.849999999999994</v>
      </c>
    </row>
    <row r="220" spans="1:8" s="477" customFormat="1" ht="25.5">
      <c r="A220" s="252" t="s">
        <v>1018</v>
      </c>
      <c r="B220" s="252" t="s">
        <v>1133</v>
      </c>
      <c r="C220" s="252" t="s">
        <v>9</v>
      </c>
      <c r="D220" s="251" t="s">
        <v>1134</v>
      </c>
      <c r="E220" s="252" t="s">
        <v>225</v>
      </c>
      <c r="F220" s="476">
        <v>3.5</v>
      </c>
      <c r="G220" s="488">
        <v>18.989999999999998</v>
      </c>
      <c r="H220" s="488">
        <v>66.459999999999994</v>
      </c>
    </row>
    <row r="221" spans="1:8" s="477" customFormat="1">
      <c r="A221" s="252" t="s">
        <v>1028</v>
      </c>
      <c r="B221" s="252" t="s">
        <v>1135</v>
      </c>
      <c r="C221" s="252" t="s">
        <v>9</v>
      </c>
      <c r="D221" s="251" t="s">
        <v>1136</v>
      </c>
      <c r="E221" s="252" t="s">
        <v>210</v>
      </c>
      <c r="F221" s="476">
        <v>3</v>
      </c>
      <c r="G221" s="488">
        <v>70.39</v>
      </c>
      <c r="H221" s="488">
        <v>211.17</v>
      </c>
    </row>
    <row r="222" spans="1:8" s="477" customFormat="1">
      <c r="A222" s="252" t="s">
        <v>1028</v>
      </c>
      <c r="B222" s="252" t="s">
        <v>1137</v>
      </c>
      <c r="C222" s="252" t="s">
        <v>9</v>
      </c>
      <c r="D222" s="251" t="s">
        <v>1138</v>
      </c>
      <c r="E222" s="252" t="s">
        <v>165</v>
      </c>
      <c r="F222" s="476">
        <v>0.85</v>
      </c>
      <c r="G222" s="488">
        <v>40.24</v>
      </c>
      <c r="H222" s="488">
        <v>34.200000000000003</v>
      </c>
    </row>
    <row r="223" spans="1:8" s="477" customFormat="1" ht="38.25">
      <c r="A223" s="252" t="s">
        <v>1028</v>
      </c>
      <c r="B223" s="252" t="s">
        <v>1139</v>
      </c>
      <c r="C223" s="252" t="s">
        <v>9</v>
      </c>
      <c r="D223" s="251" t="s">
        <v>1140</v>
      </c>
      <c r="E223" s="252" t="s">
        <v>10</v>
      </c>
      <c r="F223" s="476">
        <v>3.3</v>
      </c>
      <c r="G223" s="488">
        <v>68.040000000000006</v>
      </c>
      <c r="H223" s="488">
        <v>224.53</v>
      </c>
    </row>
    <row r="224" spans="1:8" s="477" customFormat="1">
      <c r="A224" s="252" t="s">
        <v>1028</v>
      </c>
      <c r="B224" s="252" t="s">
        <v>1141</v>
      </c>
      <c r="C224" s="252" t="s">
        <v>9</v>
      </c>
      <c r="D224" s="251" t="s">
        <v>1142</v>
      </c>
      <c r="E224" s="252" t="s">
        <v>165</v>
      </c>
      <c r="F224" s="476">
        <v>0.85</v>
      </c>
      <c r="G224" s="488">
        <v>37.31</v>
      </c>
      <c r="H224" s="488">
        <v>31.71</v>
      </c>
    </row>
    <row r="225" spans="1:8" s="477" customFormat="1" ht="25.5">
      <c r="A225" s="252" t="s">
        <v>1028</v>
      </c>
      <c r="B225" s="252" t="s">
        <v>1143</v>
      </c>
      <c r="C225" s="252" t="s">
        <v>9</v>
      </c>
      <c r="D225" s="251" t="s">
        <v>1144</v>
      </c>
      <c r="E225" s="252" t="s">
        <v>210</v>
      </c>
      <c r="F225" s="476">
        <v>2.25</v>
      </c>
      <c r="G225" s="488">
        <v>7.73</v>
      </c>
      <c r="H225" s="488">
        <v>17.39</v>
      </c>
    </row>
    <row r="226" spans="1:8" s="477" customFormat="1">
      <c r="A226" s="252" t="s">
        <v>1028</v>
      </c>
      <c r="B226" s="252" t="s">
        <v>1145</v>
      </c>
      <c r="C226" s="252" t="s">
        <v>9</v>
      </c>
      <c r="D226" s="251" t="s">
        <v>1146</v>
      </c>
      <c r="E226" s="252" t="s">
        <v>209</v>
      </c>
      <c r="F226" s="476">
        <v>0.45</v>
      </c>
      <c r="G226" s="488">
        <v>22</v>
      </c>
      <c r="H226" s="488">
        <v>9.9</v>
      </c>
    </row>
    <row r="227" spans="1:8" s="477" customFormat="1">
      <c r="A227" s="252" t="s">
        <v>1028</v>
      </c>
      <c r="B227" s="252" t="s">
        <v>1147</v>
      </c>
      <c r="C227" s="252" t="s">
        <v>9</v>
      </c>
      <c r="D227" s="251" t="s">
        <v>1148</v>
      </c>
      <c r="E227" s="252" t="s">
        <v>448</v>
      </c>
      <c r="F227" s="476">
        <v>2.1</v>
      </c>
      <c r="G227" s="488">
        <v>2.38</v>
      </c>
      <c r="H227" s="488">
        <v>4.99</v>
      </c>
    </row>
    <row r="228" spans="1:8" s="477" customFormat="1" ht="25.5">
      <c r="A228" s="252" t="s">
        <v>1028</v>
      </c>
      <c r="B228" s="252" t="s">
        <v>1078</v>
      </c>
      <c r="C228" s="252" t="s">
        <v>9</v>
      </c>
      <c r="D228" s="251" t="s">
        <v>1079</v>
      </c>
      <c r="E228" s="252" t="s">
        <v>15</v>
      </c>
      <c r="F228" s="476">
        <v>0.5</v>
      </c>
      <c r="G228" s="488">
        <v>121.56</v>
      </c>
      <c r="H228" s="488">
        <v>60.78</v>
      </c>
    </row>
    <row r="229" spans="1:8" s="477" customFormat="1" ht="25.5">
      <c r="A229" s="252" t="s">
        <v>1028</v>
      </c>
      <c r="B229" s="252" t="s">
        <v>1149</v>
      </c>
      <c r="C229" s="252" t="s">
        <v>9</v>
      </c>
      <c r="D229" s="251" t="s">
        <v>1150</v>
      </c>
      <c r="E229" s="252" t="s">
        <v>209</v>
      </c>
      <c r="F229" s="476">
        <v>33.5</v>
      </c>
      <c r="G229" s="488">
        <v>11.69</v>
      </c>
      <c r="H229" s="488">
        <v>391.61</v>
      </c>
    </row>
    <row r="230" spans="1:8" s="477" customFormat="1" ht="25.5">
      <c r="A230" s="252" t="s">
        <v>1028</v>
      </c>
      <c r="B230" s="252" t="s">
        <v>1151</v>
      </c>
      <c r="C230" s="252" t="s">
        <v>9</v>
      </c>
      <c r="D230" s="251" t="s">
        <v>1152</v>
      </c>
      <c r="E230" s="252" t="s">
        <v>15</v>
      </c>
      <c r="F230" s="476">
        <v>0.16</v>
      </c>
      <c r="G230" s="488">
        <v>89.47</v>
      </c>
      <c r="H230" s="488">
        <v>14.31</v>
      </c>
    </row>
    <row r="231" spans="1:8" s="477" customFormat="1">
      <c r="A231" s="252" t="s">
        <v>1028</v>
      </c>
      <c r="B231" s="252" t="s">
        <v>1153</v>
      </c>
      <c r="C231" s="252" t="s">
        <v>9</v>
      </c>
      <c r="D231" s="251" t="s">
        <v>1154</v>
      </c>
      <c r="E231" s="252" t="s">
        <v>209</v>
      </c>
      <c r="F231" s="476">
        <v>7.28</v>
      </c>
      <c r="G231" s="488">
        <v>2.34</v>
      </c>
      <c r="H231" s="488">
        <v>17.03</v>
      </c>
    </row>
    <row r="232" spans="1:8" s="477" customFormat="1">
      <c r="A232" s="252" t="s">
        <v>1028</v>
      </c>
      <c r="B232" s="252" t="s">
        <v>1068</v>
      </c>
      <c r="C232" s="252" t="s">
        <v>9</v>
      </c>
      <c r="D232" s="251" t="s">
        <v>1069</v>
      </c>
      <c r="E232" s="252" t="s">
        <v>209</v>
      </c>
      <c r="F232" s="476">
        <v>112</v>
      </c>
      <c r="G232" s="488">
        <v>0.68</v>
      </c>
      <c r="H232" s="488">
        <v>76.16</v>
      </c>
    </row>
    <row r="233" spans="1:8" s="477" customFormat="1" ht="25.5">
      <c r="A233" s="252" t="s">
        <v>1028</v>
      </c>
      <c r="B233" s="252" t="s">
        <v>1155</v>
      </c>
      <c r="C233" s="252" t="s">
        <v>9</v>
      </c>
      <c r="D233" s="251" t="s">
        <v>1156</v>
      </c>
      <c r="E233" s="252" t="s">
        <v>209</v>
      </c>
      <c r="F233" s="476">
        <v>0.59</v>
      </c>
      <c r="G233" s="488">
        <v>27.6</v>
      </c>
      <c r="H233" s="488">
        <v>16.28</v>
      </c>
    </row>
    <row r="234" spans="1:8" s="477" customFormat="1" ht="25.5">
      <c r="A234" s="252" t="s">
        <v>1028</v>
      </c>
      <c r="B234" s="252" t="s">
        <v>1157</v>
      </c>
      <c r="C234" s="252" t="s">
        <v>9</v>
      </c>
      <c r="D234" s="251" t="s">
        <v>1158</v>
      </c>
      <c r="E234" s="252" t="s">
        <v>15</v>
      </c>
      <c r="F234" s="476">
        <v>0.38</v>
      </c>
      <c r="G234" s="488">
        <v>102.75</v>
      </c>
      <c r="H234" s="488">
        <v>39.04</v>
      </c>
    </row>
    <row r="235" spans="1:8" s="479" customFormat="1">
      <c r="A235" s="260"/>
      <c r="B235" s="261"/>
      <c r="C235" s="261"/>
      <c r="D235" s="261"/>
      <c r="E235" s="261"/>
      <c r="F235" s="569" t="s">
        <v>1022</v>
      </c>
      <c r="G235" s="570"/>
      <c r="H235" s="484">
        <v>416.56</v>
      </c>
    </row>
    <row r="236" spans="1:8" s="479" customFormat="1" ht="15.75" thickBot="1">
      <c r="A236" s="262"/>
      <c r="B236" s="263"/>
      <c r="C236" s="263"/>
      <c r="D236" s="263"/>
      <c r="E236" s="263"/>
      <c r="F236" s="567" t="s">
        <v>1023</v>
      </c>
      <c r="G236" s="568"/>
      <c r="H236" s="485">
        <v>1977.91</v>
      </c>
    </row>
    <row r="237" spans="1:8" ht="15.75" thickTop="1">
      <c r="A237" s="254"/>
      <c r="B237" s="254"/>
      <c r="C237" s="254"/>
      <c r="D237" s="254"/>
      <c r="E237" s="254"/>
      <c r="F237" s="254"/>
      <c r="G237" s="254"/>
      <c r="H237" s="254"/>
    </row>
    <row r="238" spans="1:8">
      <c r="A238" s="407" t="s">
        <v>1006</v>
      </c>
      <c r="B238" s="407" t="s">
        <v>536</v>
      </c>
      <c r="C238" s="407" t="s">
        <v>537</v>
      </c>
      <c r="D238" s="407" t="s">
        <v>538</v>
      </c>
      <c r="E238" s="407" t="s">
        <v>539</v>
      </c>
      <c r="F238" s="407" t="s">
        <v>540</v>
      </c>
      <c r="G238" s="407" t="s">
        <v>1016</v>
      </c>
      <c r="H238" s="407" t="s">
        <v>542</v>
      </c>
    </row>
    <row r="239" spans="1:8" ht="38.25">
      <c r="A239" s="250" t="s">
        <v>1017</v>
      </c>
      <c r="B239" s="250" t="s">
        <v>1007</v>
      </c>
      <c r="C239" s="250" t="s">
        <v>546</v>
      </c>
      <c r="D239" s="249" t="s">
        <v>451</v>
      </c>
      <c r="E239" s="250" t="s">
        <v>208</v>
      </c>
      <c r="F239" s="475">
        <v>1</v>
      </c>
      <c r="G239" s="487">
        <v>296.62</v>
      </c>
      <c r="H239" s="487">
        <v>296.62</v>
      </c>
    </row>
    <row r="240" spans="1:8" s="477" customFormat="1" ht="25.5">
      <c r="A240" s="252" t="s">
        <v>1018</v>
      </c>
      <c r="B240" s="252" t="s">
        <v>1065</v>
      </c>
      <c r="C240" s="252" t="s">
        <v>9</v>
      </c>
      <c r="D240" s="251" t="s">
        <v>226</v>
      </c>
      <c r="E240" s="252" t="s">
        <v>225</v>
      </c>
      <c r="F240" s="476">
        <v>0.48359999999999997</v>
      </c>
      <c r="G240" s="488">
        <v>22.03</v>
      </c>
      <c r="H240" s="488">
        <v>10.65</v>
      </c>
    </row>
    <row r="241" spans="1:8" s="477" customFormat="1" ht="25.5">
      <c r="A241" s="252" t="s">
        <v>1018</v>
      </c>
      <c r="B241" s="252" t="s">
        <v>1025</v>
      </c>
      <c r="C241" s="252" t="s">
        <v>9</v>
      </c>
      <c r="D241" s="251" t="s">
        <v>211</v>
      </c>
      <c r="E241" s="252" t="s">
        <v>225</v>
      </c>
      <c r="F241" s="476">
        <v>0.20150000000000001</v>
      </c>
      <c r="G241" s="488">
        <v>17.829999999999998</v>
      </c>
      <c r="H241" s="488">
        <v>3.59</v>
      </c>
    </row>
    <row r="242" spans="1:8" s="477" customFormat="1">
      <c r="A242" s="252" t="s">
        <v>1028</v>
      </c>
      <c r="B242" s="252" t="s">
        <v>1159</v>
      </c>
      <c r="C242" s="252" t="s">
        <v>9</v>
      </c>
      <c r="D242" s="251" t="s">
        <v>1160</v>
      </c>
      <c r="E242" s="252" t="s">
        <v>209</v>
      </c>
      <c r="F242" s="476">
        <v>0.28199999999999997</v>
      </c>
      <c r="G242" s="488">
        <v>45.19</v>
      </c>
      <c r="H242" s="488">
        <v>12.74</v>
      </c>
    </row>
    <row r="243" spans="1:8" s="477" customFormat="1" ht="25.5">
      <c r="A243" s="252" t="s">
        <v>1028</v>
      </c>
      <c r="B243" s="252" t="s">
        <v>1161</v>
      </c>
      <c r="C243" s="252" t="s">
        <v>9</v>
      </c>
      <c r="D243" s="251" t="s">
        <v>1162</v>
      </c>
      <c r="E243" s="252" t="s">
        <v>10</v>
      </c>
      <c r="F243" s="476">
        <v>1</v>
      </c>
      <c r="G243" s="488">
        <v>269.64</v>
      </c>
      <c r="H243" s="488">
        <v>269.64</v>
      </c>
    </row>
    <row r="244" spans="1:8" s="479" customFormat="1">
      <c r="A244" s="237"/>
      <c r="B244" s="237"/>
      <c r="C244" s="237"/>
      <c r="D244" s="237"/>
      <c r="E244" s="237"/>
      <c r="F244" s="566" t="s">
        <v>1022</v>
      </c>
      <c r="G244" s="566"/>
      <c r="H244" s="478">
        <v>79.13</v>
      </c>
    </row>
    <row r="245" spans="1:8" s="479" customFormat="1" ht="15.75" thickBot="1">
      <c r="A245" s="237"/>
      <c r="B245" s="237"/>
      <c r="C245" s="237"/>
      <c r="D245" s="237"/>
      <c r="E245" s="237"/>
      <c r="F245" s="565" t="s">
        <v>1023</v>
      </c>
      <c r="G245" s="565"/>
      <c r="H245" s="478">
        <v>375.75</v>
      </c>
    </row>
    <row r="246" spans="1:8" ht="15.75" thickTop="1">
      <c r="A246" s="254"/>
      <c r="B246" s="254"/>
      <c r="C246" s="254"/>
      <c r="D246" s="254"/>
      <c r="E246" s="254"/>
      <c r="F246" s="254"/>
      <c r="G246" s="254"/>
      <c r="H246" s="254"/>
    </row>
    <row r="247" spans="1:8">
      <c r="A247" s="467"/>
    </row>
    <row r="248" spans="1:8">
      <c r="A248" s="253"/>
      <c r="B248" s="253"/>
      <c r="C248" s="253"/>
      <c r="D248" s="253"/>
      <c r="E248" s="253"/>
      <c r="F248" s="253"/>
      <c r="G248" s="253"/>
      <c r="H248" s="253"/>
    </row>
    <row r="249" spans="1:8">
      <c r="A249" s="237"/>
      <c r="B249" s="237"/>
      <c r="C249" s="237"/>
      <c r="D249" s="253"/>
      <c r="E249" s="237"/>
      <c r="F249" s="486"/>
      <c r="G249" s="237"/>
      <c r="H249" s="237"/>
    </row>
    <row r="250" spans="1:8">
      <c r="A250" s="237"/>
      <c r="B250" s="237"/>
      <c r="C250" s="237"/>
      <c r="D250" s="253"/>
      <c r="E250" s="237"/>
      <c r="F250" s="486"/>
      <c r="G250" s="237"/>
      <c r="H250" s="237"/>
    </row>
    <row r="251" spans="1:8">
      <c r="A251" s="237"/>
      <c r="B251" s="237"/>
      <c r="C251" s="237"/>
      <c r="D251" s="253"/>
      <c r="E251" s="237"/>
      <c r="F251" s="486"/>
      <c r="G251" s="237"/>
      <c r="H251" s="237"/>
    </row>
    <row r="252" spans="1:8">
      <c r="A252" s="237"/>
      <c r="B252" s="237"/>
      <c r="C252" s="237"/>
      <c r="D252" s="237"/>
      <c r="E252" s="237"/>
      <c r="F252" s="237"/>
      <c r="G252" s="237"/>
      <c r="H252" s="237"/>
    </row>
    <row r="253" spans="1:8">
      <c r="A253" s="253"/>
    </row>
  </sheetData>
  <mergeCells count="183">
    <mergeCell ref="B145:B147"/>
    <mergeCell ref="C145:C147"/>
    <mergeCell ref="D145:D147"/>
    <mergeCell ref="E145:E147"/>
    <mergeCell ref="F145:F147"/>
    <mergeCell ref="G145:G147"/>
    <mergeCell ref="H145:H147"/>
    <mergeCell ref="F151:G151"/>
    <mergeCell ref="F152:G152"/>
    <mergeCell ref="F28:G28"/>
    <mergeCell ref="F27:G27"/>
    <mergeCell ref="F15:G15"/>
    <mergeCell ref="F14:G14"/>
    <mergeCell ref="H16:H18"/>
    <mergeCell ref="H106:H107"/>
    <mergeCell ref="F90:G90"/>
    <mergeCell ref="F89:G89"/>
    <mergeCell ref="F79:G79"/>
    <mergeCell ref="F78:G78"/>
    <mergeCell ref="F66:G66"/>
    <mergeCell ref="F65:G65"/>
    <mergeCell ref="F55:G55"/>
    <mergeCell ref="F54:G54"/>
    <mergeCell ref="F103:G103"/>
    <mergeCell ref="H92:H93"/>
    <mergeCell ref="H68:H69"/>
    <mergeCell ref="H44:H46"/>
    <mergeCell ref="H214:H215"/>
    <mergeCell ref="H205:H206"/>
    <mergeCell ref="F161:G161"/>
    <mergeCell ref="F182:G182"/>
    <mergeCell ref="F173:G173"/>
    <mergeCell ref="F181:G181"/>
    <mergeCell ref="H176:H177"/>
    <mergeCell ref="H163:H164"/>
    <mergeCell ref="F104:G104"/>
    <mergeCell ref="F114:G114"/>
    <mergeCell ref="F123:G123"/>
    <mergeCell ref="F212:G212"/>
    <mergeCell ref="H195:H196"/>
    <mergeCell ref="F203:G203"/>
    <mergeCell ref="F192:G192"/>
    <mergeCell ref="F191:G191"/>
    <mergeCell ref="F174:G174"/>
    <mergeCell ref="H153:H155"/>
    <mergeCell ref="F144:G144"/>
    <mergeCell ref="H137:H138"/>
    <mergeCell ref="F135:G135"/>
    <mergeCell ref="H125:H126"/>
    <mergeCell ref="H116:H117"/>
    <mergeCell ref="F122:G122"/>
    <mergeCell ref="F143:G143"/>
    <mergeCell ref="F160:G160"/>
    <mergeCell ref="F236:G236"/>
    <mergeCell ref="F245:G245"/>
    <mergeCell ref="G214:G215"/>
    <mergeCell ref="F202:G202"/>
    <mergeCell ref="F211:G211"/>
    <mergeCell ref="F235:G235"/>
    <mergeCell ref="F244:G244"/>
    <mergeCell ref="G195:G196"/>
    <mergeCell ref="G205:G206"/>
    <mergeCell ref="G184:G185"/>
    <mergeCell ref="B214:B215"/>
    <mergeCell ref="C214:C215"/>
    <mergeCell ref="D214:D215"/>
    <mergeCell ref="E214:E215"/>
    <mergeCell ref="F214:F215"/>
    <mergeCell ref="B195:B196"/>
    <mergeCell ref="C195:C196"/>
    <mergeCell ref="D195:D196"/>
    <mergeCell ref="E195:E196"/>
    <mergeCell ref="F195:F196"/>
    <mergeCell ref="B205:B206"/>
    <mergeCell ref="C205:C206"/>
    <mergeCell ref="D205:D206"/>
    <mergeCell ref="E205:E206"/>
    <mergeCell ref="F205:F206"/>
    <mergeCell ref="H184:H185"/>
    <mergeCell ref="B153:B155"/>
    <mergeCell ref="C153:C155"/>
    <mergeCell ref="D153:D155"/>
    <mergeCell ref="E153:E155"/>
    <mergeCell ref="F153:F155"/>
    <mergeCell ref="G153:G155"/>
    <mergeCell ref="B163:B164"/>
    <mergeCell ref="C163:C164"/>
    <mergeCell ref="D163:D164"/>
    <mergeCell ref="E163:E164"/>
    <mergeCell ref="F163:F164"/>
    <mergeCell ref="G163:G164"/>
    <mergeCell ref="B176:B177"/>
    <mergeCell ref="C176:C177"/>
    <mergeCell ref="D176:D177"/>
    <mergeCell ref="E176:E177"/>
    <mergeCell ref="F176:F177"/>
    <mergeCell ref="G176:G177"/>
    <mergeCell ref="B184:B185"/>
    <mergeCell ref="C184:C185"/>
    <mergeCell ref="D184:D185"/>
    <mergeCell ref="E184:E185"/>
    <mergeCell ref="F184:F185"/>
    <mergeCell ref="B125:B126"/>
    <mergeCell ref="C125:C126"/>
    <mergeCell ref="D125:D126"/>
    <mergeCell ref="E125:E126"/>
    <mergeCell ref="F125:F126"/>
    <mergeCell ref="G125:G126"/>
    <mergeCell ref="B137:B138"/>
    <mergeCell ref="C137:C138"/>
    <mergeCell ref="D137:D138"/>
    <mergeCell ref="E137:E138"/>
    <mergeCell ref="F137:F138"/>
    <mergeCell ref="G137:G138"/>
    <mergeCell ref="F134:G134"/>
    <mergeCell ref="B106:B107"/>
    <mergeCell ref="C106:C107"/>
    <mergeCell ref="D106:D107"/>
    <mergeCell ref="E106:E107"/>
    <mergeCell ref="F106:F107"/>
    <mergeCell ref="G106:G107"/>
    <mergeCell ref="B116:B117"/>
    <mergeCell ref="C116:C117"/>
    <mergeCell ref="D116:D117"/>
    <mergeCell ref="E116:E117"/>
    <mergeCell ref="F116:F117"/>
    <mergeCell ref="G116:G117"/>
    <mergeCell ref="F113:G113"/>
    <mergeCell ref="B81:B82"/>
    <mergeCell ref="C81:C82"/>
    <mergeCell ref="D81:D82"/>
    <mergeCell ref="E81:E82"/>
    <mergeCell ref="F81:F82"/>
    <mergeCell ref="G81:G82"/>
    <mergeCell ref="H81:H82"/>
    <mergeCell ref="B92:B93"/>
    <mergeCell ref="C92:C93"/>
    <mergeCell ref="D92:D93"/>
    <mergeCell ref="E92:E93"/>
    <mergeCell ref="F92:F93"/>
    <mergeCell ref="G92:G93"/>
    <mergeCell ref="B57:B58"/>
    <mergeCell ref="C57:C58"/>
    <mergeCell ref="D57:D58"/>
    <mergeCell ref="E57:E58"/>
    <mergeCell ref="F57:F58"/>
    <mergeCell ref="G57:G58"/>
    <mergeCell ref="H57:H58"/>
    <mergeCell ref="B68:B69"/>
    <mergeCell ref="C68:C69"/>
    <mergeCell ref="D68:D69"/>
    <mergeCell ref="E68:E69"/>
    <mergeCell ref="F68:F69"/>
    <mergeCell ref="G68:G69"/>
    <mergeCell ref="B30:B31"/>
    <mergeCell ref="C30:C31"/>
    <mergeCell ref="D30:D31"/>
    <mergeCell ref="E30:E31"/>
    <mergeCell ref="F30:F31"/>
    <mergeCell ref="G30:G31"/>
    <mergeCell ref="H30:H31"/>
    <mergeCell ref="B44:B46"/>
    <mergeCell ref="C44:C46"/>
    <mergeCell ref="D44:D46"/>
    <mergeCell ref="E44:E46"/>
    <mergeCell ref="F44:F46"/>
    <mergeCell ref="G44:G46"/>
    <mergeCell ref="F43:G43"/>
    <mergeCell ref="F42:G42"/>
    <mergeCell ref="H9:H10"/>
    <mergeCell ref="A2:H2"/>
    <mergeCell ref="B9:B10"/>
    <mergeCell ref="C9:C10"/>
    <mergeCell ref="D9:D10"/>
    <mergeCell ref="E9:E10"/>
    <mergeCell ref="F9:F10"/>
    <mergeCell ref="G9:G10"/>
    <mergeCell ref="B16:B18"/>
    <mergeCell ref="C16:C18"/>
    <mergeCell ref="D16:D18"/>
    <mergeCell ref="E16:E18"/>
    <mergeCell ref="F16:F18"/>
    <mergeCell ref="G16:G18"/>
  </mergeCells>
  <printOptions horizontalCentered="1"/>
  <pageMargins left="0.51181102362204722" right="0.51181102362204722" top="0.98425196850393704" bottom="0.78740157480314965" header="0.19685039370078741" footer="0.31496062992125984"/>
  <pageSetup paperSize="9" scale="90" orientation="landscape" verticalDpi="360" r:id="rId1"/>
  <headerFooter>
    <oddHeader>&amp;L&amp;G&amp;R&amp;G</oddHeader>
    <oddFooter>&amp;RPágina &amp;P de &amp;N</oddFooter>
  </headerFooter>
  <legacyDrawingHF r:id="rId2"/>
</worksheet>
</file>

<file path=xl/worksheets/sheet4.xml><?xml version="1.0" encoding="utf-8"?>
<worksheet xmlns="http://schemas.openxmlformats.org/spreadsheetml/2006/main" xmlns:r="http://schemas.openxmlformats.org/officeDocument/2006/relationships">
  <dimension ref="A2:J26"/>
  <sheetViews>
    <sheetView workbookViewId="0">
      <selection activeCell="K11" sqref="K11"/>
    </sheetView>
  </sheetViews>
  <sheetFormatPr defaultRowHeight="15"/>
  <cols>
    <col min="1" max="1" width="19.5703125" customWidth="1"/>
    <col min="2" max="2" width="35.42578125" customWidth="1"/>
    <col min="3" max="3" width="9.42578125" customWidth="1"/>
    <col min="4" max="4" width="22.5703125" customWidth="1"/>
    <col min="5" max="5" width="19.85546875" customWidth="1"/>
    <col min="6" max="6" width="10.28515625" bestFit="1" customWidth="1"/>
    <col min="7" max="7" width="13.140625" bestFit="1" customWidth="1"/>
    <col min="8" max="8" width="10.85546875" bestFit="1" customWidth="1"/>
    <col min="9" max="9" width="11.5703125" customWidth="1"/>
    <col min="10" max="10" width="12.140625" customWidth="1"/>
  </cols>
  <sheetData>
    <row r="2" spans="1:10" ht="18.75">
      <c r="A2" s="575" t="s">
        <v>530</v>
      </c>
      <c r="B2" s="575"/>
      <c r="C2" s="575"/>
      <c r="D2" s="575"/>
      <c r="E2" s="575"/>
      <c r="F2" s="575"/>
      <c r="G2" s="575"/>
      <c r="H2" s="575"/>
      <c r="I2" s="575"/>
      <c r="J2" s="575"/>
    </row>
    <row r="4" spans="1:10" s="232" customFormat="1">
      <c r="A4" s="233" t="s">
        <v>531</v>
      </c>
    </row>
    <row r="5" spans="1:10" s="232" customFormat="1">
      <c r="A5" s="233" t="s">
        <v>532</v>
      </c>
    </row>
    <row r="6" spans="1:10" s="232" customFormat="1">
      <c r="A6" s="233" t="s">
        <v>1398</v>
      </c>
      <c r="E6" s="234" t="s">
        <v>1399</v>
      </c>
    </row>
    <row r="7" spans="1:10" ht="15.75" thickBot="1"/>
    <row r="8" spans="1:10" s="214" customFormat="1" ht="45.75" thickBot="1">
      <c r="A8" s="224" t="s">
        <v>487</v>
      </c>
      <c r="B8" s="224" t="s">
        <v>488</v>
      </c>
      <c r="C8" s="224" t="s">
        <v>489</v>
      </c>
      <c r="D8" s="224" t="s">
        <v>490</v>
      </c>
      <c r="E8" s="224" t="s">
        <v>491</v>
      </c>
      <c r="F8" s="224" t="s">
        <v>492</v>
      </c>
      <c r="G8" s="224" t="s">
        <v>493</v>
      </c>
      <c r="H8" s="224" t="s">
        <v>494</v>
      </c>
      <c r="I8" s="224" t="s">
        <v>495</v>
      </c>
      <c r="J8" s="224" t="s">
        <v>496</v>
      </c>
    </row>
    <row r="9" spans="1:10" s="214" customFormat="1" ht="47.25" customHeight="1">
      <c r="A9" s="222" t="s">
        <v>497</v>
      </c>
      <c r="B9" s="221" t="s">
        <v>529</v>
      </c>
      <c r="C9" s="222" t="s">
        <v>10</v>
      </c>
      <c r="D9" s="222" t="s">
        <v>498</v>
      </c>
      <c r="E9" s="222" t="s">
        <v>499</v>
      </c>
      <c r="F9" s="222" t="s">
        <v>500</v>
      </c>
      <c r="G9" s="222" t="s">
        <v>501</v>
      </c>
      <c r="H9" s="222" t="s">
        <v>502</v>
      </c>
      <c r="I9" s="223">
        <v>44448</v>
      </c>
      <c r="J9" s="229">
        <v>495.3</v>
      </c>
    </row>
    <row r="10" spans="1:10" s="214" customFormat="1" ht="45">
      <c r="A10" s="216" t="s">
        <v>497</v>
      </c>
      <c r="B10" s="215" t="s">
        <v>528</v>
      </c>
      <c r="C10" s="216" t="s">
        <v>10</v>
      </c>
      <c r="D10" s="216" t="s">
        <v>498</v>
      </c>
      <c r="E10" s="216" t="s">
        <v>499</v>
      </c>
      <c r="F10" s="216" t="s">
        <v>503</v>
      </c>
      <c r="G10" s="216" t="s">
        <v>504</v>
      </c>
      <c r="H10" s="216" t="s">
        <v>505</v>
      </c>
      <c r="I10" s="217">
        <v>44498</v>
      </c>
      <c r="J10" s="230">
        <v>495.3</v>
      </c>
    </row>
    <row r="11" spans="1:10" s="214" customFormat="1" ht="90">
      <c r="A11" s="216" t="s">
        <v>497</v>
      </c>
      <c r="B11" s="215" t="s">
        <v>527</v>
      </c>
      <c r="C11" s="216" t="s">
        <v>10</v>
      </c>
      <c r="D11" s="216" t="s">
        <v>507</v>
      </c>
      <c r="E11" s="216" t="s">
        <v>499</v>
      </c>
      <c r="F11" s="216" t="s">
        <v>508</v>
      </c>
      <c r="G11" s="216" t="s">
        <v>509</v>
      </c>
      <c r="H11" s="216" t="s">
        <v>510</v>
      </c>
      <c r="I11" s="217">
        <v>44552</v>
      </c>
      <c r="J11" s="230">
        <v>542.16999999999996</v>
      </c>
    </row>
    <row r="12" spans="1:10" s="214" customFormat="1" ht="147" customHeight="1">
      <c r="A12" s="216" t="s">
        <v>521</v>
      </c>
      <c r="B12" s="215" t="s">
        <v>520</v>
      </c>
      <c r="C12" s="216" t="s">
        <v>10</v>
      </c>
      <c r="D12" s="216" t="s">
        <v>511</v>
      </c>
      <c r="E12" s="216" t="s">
        <v>499</v>
      </c>
      <c r="F12" s="216" t="s">
        <v>512</v>
      </c>
      <c r="G12" s="216" t="s">
        <v>513</v>
      </c>
      <c r="H12" s="216" t="s">
        <v>514</v>
      </c>
      <c r="I12" s="217">
        <v>44389</v>
      </c>
      <c r="J12" s="230">
        <v>409</v>
      </c>
    </row>
    <row r="13" spans="1:10" s="214" customFormat="1" ht="149.25" customHeight="1">
      <c r="A13" s="216" t="s">
        <v>522</v>
      </c>
      <c r="B13" s="215" t="s">
        <v>520</v>
      </c>
      <c r="C13" s="216" t="s">
        <v>10</v>
      </c>
      <c r="D13" s="216" t="s">
        <v>511</v>
      </c>
      <c r="E13" s="216" t="s">
        <v>499</v>
      </c>
      <c r="F13" s="216" t="s">
        <v>515</v>
      </c>
      <c r="G13" s="216" t="s">
        <v>516</v>
      </c>
      <c r="H13" s="216" t="s">
        <v>517</v>
      </c>
      <c r="I13" s="217">
        <v>44461</v>
      </c>
      <c r="J13" s="230">
        <v>419.97</v>
      </c>
    </row>
    <row r="14" spans="1:10" s="214" customFormat="1" ht="153.75" customHeight="1" thickBot="1">
      <c r="A14" s="226" t="s">
        <v>523</v>
      </c>
      <c r="B14" s="225" t="s">
        <v>526</v>
      </c>
      <c r="C14" s="226" t="s">
        <v>10</v>
      </c>
      <c r="D14" s="226" t="s">
        <v>511</v>
      </c>
      <c r="E14" s="226" t="s">
        <v>524</v>
      </c>
      <c r="F14" s="226" t="s">
        <v>518</v>
      </c>
      <c r="G14" s="226" t="s">
        <v>506</v>
      </c>
      <c r="H14" s="226" t="s">
        <v>519</v>
      </c>
      <c r="I14" s="227">
        <v>44504</v>
      </c>
      <c r="J14" s="231">
        <v>417</v>
      </c>
    </row>
    <row r="15" spans="1:10" s="214" customFormat="1" ht="15.75" thickBot="1">
      <c r="A15" s="572" t="s">
        <v>525</v>
      </c>
      <c r="B15" s="573"/>
      <c r="C15" s="573"/>
      <c r="D15" s="573"/>
      <c r="E15" s="573"/>
      <c r="F15" s="573"/>
      <c r="G15" s="573"/>
      <c r="H15" s="573"/>
      <c r="I15" s="574"/>
      <c r="J15" s="228">
        <f>AVERAGE(J9,J10,J11,J12,J13,J14)</f>
        <v>463.12333333333328</v>
      </c>
    </row>
    <row r="16" spans="1:10" s="214" customFormat="1">
      <c r="C16" s="218"/>
      <c r="F16" s="218"/>
      <c r="G16" s="218"/>
      <c r="H16" s="218"/>
      <c r="I16" s="218"/>
      <c r="J16" s="219"/>
    </row>
    <row r="17" spans="2:10" s="214" customFormat="1">
      <c r="B17" s="235" t="s">
        <v>330</v>
      </c>
      <c r="C17" s="218"/>
      <c r="F17" s="218"/>
      <c r="G17" s="218"/>
      <c r="H17" s="218"/>
      <c r="I17" s="218"/>
      <c r="J17" s="219"/>
    </row>
    <row r="18" spans="2:10" s="214" customFormat="1">
      <c r="B18" s="576" t="s">
        <v>533</v>
      </c>
      <c r="C18" s="576"/>
      <c r="D18" s="576"/>
      <c r="E18" s="576"/>
      <c r="F18" s="576"/>
      <c r="G18" s="576"/>
      <c r="H18" s="576"/>
      <c r="I18" s="576"/>
      <c r="J18" s="219"/>
    </row>
    <row r="19" spans="2:10" s="214" customFormat="1" ht="30" customHeight="1">
      <c r="B19" s="576" t="s">
        <v>534</v>
      </c>
      <c r="C19" s="576"/>
      <c r="D19" s="576"/>
      <c r="E19" s="576"/>
      <c r="F19" s="576"/>
      <c r="G19" s="576"/>
      <c r="H19" s="576"/>
      <c r="I19" s="576"/>
      <c r="J19" s="219"/>
    </row>
    <row r="20" spans="2:10" s="214" customFormat="1">
      <c r="C20" s="218"/>
      <c r="F20" s="218"/>
      <c r="G20" s="218"/>
      <c r="H20" s="218"/>
      <c r="I20" s="218"/>
      <c r="J20" s="219"/>
    </row>
    <row r="21" spans="2:10" s="214" customFormat="1">
      <c r="C21" s="218"/>
      <c r="F21" s="218"/>
      <c r="G21" s="218"/>
      <c r="H21" s="218"/>
      <c r="I21" s="218"/>
      <c r="J21" s="219"/>
    </row>
    <row r="22" spans="2:10" s="214" customFormat="1">
      <c r="C22" s="218"/>
      <c r="F22" s="218"/>
      <c r="G22" s="218"/>
      <c r="H22" s="218"/>
      <c r="I22" s="218"/>
      <c r="J22" s="219"/>
    </row>
    <row r="23" spans="2:10" s="214" customFormat="1">
      <c r="C23" s="218"/>
      <c r="F23" s="218"/>
      <c r="G23" s="218"/>
      <c r="H23" s="218"/>
      <c r="I23" s="218"/>
      <c r="J23" s="219"/>
    </row>
    <row r="24" spans="2:10" s="214" customFormat="1">
      <c r="F24" s="218"/>
      <c r="G24" s="218"/>
      <c r="H24" s="218"/>
      <c r="I24" s="218"/>
    </row>
    <row r="25" spans="2:10" s="44" customFormat="1">
      <c r="J25" s="220"/>
    </row>
    <row r="26" spans="2:10" s="44" customFormat="1"/>
  </sheetData>
  <mergeCells count="4">
    <mergeCell ref="A15:I15"/>
    <mergeCell ref="A2:J2"/>
    <mergeCell ref="B18:I18"/>
    <mergeCell ref="B19:I19"/>
  </mergeCells>
  <printOptions horizontalCentered="1"/>
  <pageMargins left="0.51181102362204722" right="0.51181102362204722" top="1.0236220472440944" bottom="0.78740157480314965" header="0.31496062992125984" footer="0.31496062992125984"/>
  <pageSetup paperSize="9" scale="80" orientation="landscape" verticalDpi="0"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dimension ref="A1:N211"/>
  <sheetViews>
    <sheetView topLeftCell="A70" workbookViewId="0">
      <selection activeCell="K75" sqref="K75"/>
    </sheetView>
  </sheetViews>
  <sheetFormatPr defaultColWidth="9.140625" defaultRowHeight="15"/>
  <cols>
    <col min="1" max="1" width="6.140625" style="39" bestFit="1" customWidth="1"/>
    <col min="2" max="2" width="11.42578125" style="39" bestFit="1" customWidth="1"/>
    <col min="3" max="3" width="9" style="39" bestFit="1" customWidth="1"/>
    <col min="4" max="4" width="68.5703125" style="44" bestFit="1" customWidth="1"/>
    <col min="5" max="5" width="8.140625" style="44" customWidth="1"/>
    <col min="6" max="6" width="12" style="44" customWidth="1"/>
    <col min="7" max="7" width="15.85546875" style="44" bestFit="1" customWidth="1"/>
    <col min="8" max="8" width="17.140625" style="44" customWidth="1"/>
    <col min="9" max="16384" width="9.140625" style="44"/>
  </cols>
  <sheetData>
    <row r="1" spans="1:14">
      <c r="A1" s="8"/>
      <c r="B1" s="8"/>
      <c r="C1" s="8"/>
      <c r="D1" s="8"/>
      <c r="E1" s="34"/>
      <c r="F1" s="34"/>
      <c r="G1" s="34"/>
      <c r="H1" s="34"/>
      <c r="I1" s="34"/>
    </row>
    <row r="2" spans="1:14" ht="17.45" customHeight="1">
      <c r="A2" s="580" t="s">
        <v>329</v>
      </c>
      <c r="B2" s="552"/>
      <c r="C2" s="552"/>
      <c r="D2" s="552"/>
      <c r="E2" s="552"/>
      <c r="F2" s="552"/>
      <c r="G2" s="552"/>
      <c r="H2" s="552"/>
      <c r="I2" s="552"/>
      <c r="J2" s="160"/>
      <c r="K2" s="160"/>
      <c r="L2" s="160"/>
      <c r="M2" s="160"/>
      <c r="N2" s="160"/>
    </row>
    <row r="3" spans="1:14">
      <c r="A3" s="8"/>
      <c r="B3" s="8"/>
      <c r="C3" s="8"/>
      <c r="D3" s="8"/>
      <c r="E3" s="34"/>
      <c r="F3" s="34"/>
      <c r="G3" s="34"/>
      <c r="H3" s="34"/>
      <c r="I3" s="34"/>
    </row>
    <row r="4" spans="1:14" s="244" customFormat="1" ht="12.75">
      <c r="A4" s="239" t="s">
        <v>1012</v>
      </c>
      <c r="B4" s="239"/>
      <c r="C4" s="240"/>
      <c r="D4" s="241"/>
      <c r="E4" s="247" t="s">
        <v>1015</v>
      </c>
      <c r="F4" s="242"/>
      <c r="G4" s="243"/>
      <c r="H4" s="243"/>
      <c r="I4" s="243"/>
    </row>
    <row r="5" spans="1:14" s="244" customFormat="1" ht="12.75">
      <c r="A5" s="239" t="s">
        <v>1013</v>
      </c>
      <c r="B5" s="239"/>
      <c r="C5" s="239"/>
      <c r="D5" s="245"/>
      <c r="E5" s="247" t="s">
        <v>1014</v>
      </c>
      <c r="G5" s="243"/>
      <c r="H5" s="243"/>
      <c r="I5" s="243"/>
    </row>
    <row r="6" spans="1:14" s="244" customFormat="1" ht="12.75">
      <c r="A6" s="239" t="s">
        <v>1400</v>
      </c>
      <c r="B6" s="239"/>
      <c r="C6" s="240"/>
      <c r="D6" s="245"/>
      <c r="E6" s="246" t="s">
        <v>1397</v>
      </c>
      <c r="G6" s="243"/>
      <c r="H6" s="243"/>
      <c r="I6" s="243"/>
    </row>
    <row r="7" spans="1:14" s="244" customFormat="1" ht="12.75">
      <c r="A7" s="239" t="s">
        <v>1940</v>
      </c>
      <c r="B7" s="239"/>
      <c r="C7" s="240"/>
      <c r="D7" s="245"/>
      <c r="F7" s="266"/>
      <c r="G7" s="243"/>
      <c r="H7" s="243"/>
      <c r="I7" s="243"/>
    </row>
    <row r="8" spans="1:14" ht="15.75" thickBot="1">
      <c r="A8" s="238"/>
      <c r="B8" s="44"/>
      <c r="C8" s="44"/>
    </row>
    <row r="9" spans="1:14" ht="30.75" thickBot="1">
      <c r="A9" s="236" t="s">
        <v>535</v>
      </c>
      <c r="B9" s="236" t="s">
        <v>536</v>
      </c>
      <c r="C9" s="236" t="s">
        <v>537</v>
      </c>
      <c r="D9" s="236" t="s">
        <v>538</v>
      </c>
      <c r="E9" s="236" t="s">
        <v>539</v>
      </c>
      <c r="F9" s="236" t="s">
        <v>540</v>
      </c>
      <c r="G9" s="236" t="s">
        <v>541</v>
      </c>
      <c r="H9" s="236" t="s">
        <v>542</v>
      </c>
      <c r="I9" s="236" t="s">
        <v>543</v>
      </c>
    </row>
    <row r="10" spans="1:14">
      <c r="A10" s="273" t="s">
        <v>544</v>
      </c>
      <c r="B10" s="269"/>
      <c r="C10" s="269"/>
      <c r="D10" s="268" t="s">
        <v>248</v>
      </c>
      <c r="E10" s="269"/>
      <c r="F10" s="275"/>
      <c r="G10" s="276"/>
      <c r="H10" s="277">
        <v>86617.5</v>
      </c>
      <c r="I10" s="278">
        <v>1.3740246776497735E-2</v>
      </c>
    </row>
    <row r="11" spans="1:14" s="160" customFormat="1" ht="25.5">
      <c r="A11" s="445" t="s">
        <v>545</v>
      </c>
      <c r="B11" s="441" t="s">
        <v>1538</v>
      </c>
      <c r="C11" s="441" t="s">
        <v>546</v>
      </c>
      <c r="D11" s="442" t="s">
        <v>547</v>
      </c>
      <c r="E11" s="441" t="s">
        <v>441</v>
      </c>
      <c r="F11" s="443">
        <v>1</v>
      </c>
      <c r="G11" s="444">
        <v>86617.5</v>
      </c>
      <c r="H11" s="444">
        <v>86617.5</v>
      </c>
      <c r="I11" s="446">
        <v>1.3740246776497735E-2</v>
      </c>
    </row>
    <row r="12" spans="1:14" s="160" customFormat="1">
      <c r="A12" s="274" t="s">
        <v>548</v>
      </c>
      <c r="B12" s="256"/>
      <c r="C12" s="256"/>
      <c r="D12" s="255" t="s">
        <v>118</v>
      </c>
      <c r="E12" s="256"/>
      <c r="F12" s="259"/>
      <c r="G12" s="257"/>
      <c r="H12" s="258">
        <v>298516.42</v>
      </c>
      <c r="I12" s="279">
        <v>4.7354048288586532E-2</v>
      </c>
    </row>
    <row r="13" spans="1:14" s="160" customFormat="1" ht="63.75">
      <c r="A13" s="445" t="s">
        <v>549</v>
      </c>
      <c r="B13" s="441" t="s">
        <v>550</v>
      </c>
      <c r="C13" s="441" t="s">
        <v>9</v>
      </c>
      <c r="D13" s="442" t="s">
        <v>551</v>
      </c>
      <c r="E13" s="441" t="s">
        <v>15</v>
      </c>
      <c r="F13" s="443">
        <v>600</v>
      </c>
      <c r="G13" s="444">
        <v>14.06</v>
      </c>
      <c r="H13" s="444">
        <v>8436</v>
      </c>
      <c r="I13" s="446">
        <v>1.3382136612870943E-3</v>
      </c>
    </row>
    <row r="14" spans="1:14" s="160" customFormat="1" ht="25.5">
      <c r="A14" s="445" t="s">
        <v>552</v>
      </c>
      <c r="B14" s="441" t="s">
        <v>1539</v>
      </c>
      <c r="C14" s="441" t="s">
        <v>588</v>
      </c>
      <c r="D14" s="442" t="s">
        <v>1540</v>
      </c>
      <c r="E14" s="441" t="s">
        <v>15</v>
      </c>
      <c r="F14" s="443">
        <v>1800.63</v>
      </c>
      <c r="G14" s="444">
        <v>126.61</v>
      </c>
      <c r="H14" s="444">
        <v>227977.76</v>
      </c>
      <c r="I14" s="446">
        <v>3.6164408831392894E-2</v>
      </c>
    </row>
    <row r="15" spans="1:14" s="160" customFormat="1" ht="25.5">
      <c r="A15" s="445" t="s">
        <v>1541</v>
      </c>
      <c r="B15" s="441" t="s">
        <v>1542</v>
      </c>
      <c r="C15" s="441" t="s">
        <v>9</v>
      </c>
      <c r="D15" s="442" t="s">
        <v>1543</v>
      </c>
      <c r="E15" s="441" t="s">
        <v>1544</v>
      </c>
      <c r="F15" s="443">
        <v>761.84</v>
      </c>
      <c r="G15" s="444">
        <v>4.1900000000000004</v>
      </c>
      <c r="H15" s="444">
        <v>3192.1</v>
      </c>
      <c r="I15" s="446">
        <v>5.0636697821177499E-4</v>
      </c>
    </row>
    <row r="16" spans="1:14" s="160" customFormat="1">
      <c r="A16" s="445" t="s">
        <v>1545</v>
      </c>
      <c r="B16" s="441" t="s">
        <v>553</v>
      </c>
      <c r="C16" s="441" t="s">
        <v>9</v>
      </c>
      <c r="D16" s="442" t="s">
        <v>554</v>
      </c>
      <c r="E16" s="441" t="s">
        <v>10</v>
      </c>
      <c r="F16" s="443">
        <v>424</v>
      </c>
      <c r="G16" s="444">
        <v>138.94</v>
      </c>
      <c r="H16" s="444">
        <v>58910.559999999998</v>
      </c>
      <c r="I16" s="446">
        <v>9.3450588176947659E-3</v>
      </c>
    </row>
    <row r="17" spans="1:9" s="160" customFormat="1">
      <c r="A17" s="274" t="s">
        <v>555</v>
      </c>
      <c r="B17" s="256"/>
      <c r="C17" s="256"/>
      <c r="D17" s="255" t="s">
        <v>556</v>
      </c>
      <c r="E17" s="256"/>
      <c r="F17" s="259"/>
      <c r="G17" s="257"/>
      <c r="H17" s="258">
        <v>20351.3</v>
      </c>
      <c r="I17" s="279">
        <v>3.2283532106391704E-3</v>
      </c>
    </row>
    <row r="18" spans="1:9" s="160" customFormat="1" ht="25.5">
      <c r="A18" s="445" t="s">
        <v>557</v>
      </c>
      <c r="B18" s="441" t="s">
        <v>558</v>
      </c>
      <c r="C18" s="441" t="s">
        <v>546</v>
      </c>
      <c r="D18" s="442" t="s">
        <v>559</v>
      </c>
      <c r="E18" s="441" t="s">
        <v>208</v>
      </c>
      <c r="F18" s="443">
        <v>6</v>
      </c>
      <c r="G18" s="444">
        <v>706.32</v>
      </c>
      <c r="H18" s="444">
        <v>4237.92</v>
      </c>
      <c r="I18" s="446">
        <v>6.7226676617375566E-4</v>
      </c>
    </row>
    <row r="19" spans="1:9" s="160" customFormat="1" ht="38.25">
      <c r="A19" s="445" t="s">
        <v>560</v>
      </c>
      <c r="B19" s="441" t="s">
        <v>561</v>
      </c>
      <c r="C19" s="441" t="s">
        <v>9</v>
      </c>
      <c r="D19" s="442" t="s">
        <v>562</v>
      </c>
      <c r="E19" s="441" t="s">
        <v>210</v>
      </c>
      <c r="F19" s="443">
        <v>209.1</v>
      </c>
      <c r="G19" s="444">
        <v>64.41</v>
      </c>
      <c r="H19" s="444">
        <v>13468.13</v>
      </c>
      <c r="I19" s="446">
        <v>2.1364669935977423E-3</v>
      </c>
    </row>
    <row r="20" spans="1:9" s="160" customFormat="1">
      <c r="A20" s="445" t="s">
        <v>563</v>
      </c>
      <c r="B20" s="441" t="s">
        <v>564</v>
      </c>
      <c r="C20" s="441" t="s">
        <v>546</v>
      </c>
      <c r="D20" s="442" t="s">
        <v>565</v>
      </c>
      <c r="E20" s="441" t="s">
        <v>441</v>
      </c>
      <c r="F20" s="443">
        <v>1</v>
      </c>
      <c r="G20" s="444">
        <v>1949.25</v>
      </c>
      <c r="H20" s="444">
        <v>1949.25</v>
      </c>
      <c r="I20" s="446">
        <v>3.0921206487243583E-4</v>
      </c>
    </row>
    <row r="21" spans="1:9" s="160" customFormat="1">
      <c r="A21" s="445" t="s">
        <v>566</v>
      </c>
      <c r="B21" s="441" t="s">
        <v>1546</v>
      </c>
      <c r="C21" s="441" t="s">
        <v>11</v>
      </c>
      <c r="D21" s="442" t="s">
        <v>1547</v>
      </c>
      <c r="E21" s="441" t="s">
        <v>10</v>
      </c>
      <c r="F21" s="443">
        <v>2400</v>
      </c>
      <c r="G21" s="444">
        <v>0.28999999999999998</v>
      </c>
      <c r="H21" s="444">
        <v>696</v>
      </c>
      <c r="I21" s="446">
        <v>1.1040738599523679E-4</v>
      </c>
    </row>
    <row r="22" spans="1:9" s="160" customFormat="1">
      <c r="A22" s="274" t="s">
        <v>567</v>
      </c>
      <c r="B22" s="256"/>
      <c r="C22" s="256"/>
      <c r="D22" s="255" t="s">
        <v>13</v>
      </c>
      <c r="E22" s="256"/>
      <c r="F22" s="259"/>
      <c r="G22" s="257"/>
      <c r="H22" s="258">
        <v>212001.31</v>
      </c>
      <c r="I22" s="279">
        <v>3.3630043771071629E-2</v>
      </c>
    </row>
    <row r="23" spans="1:9" s="160" customFormat="1" ht="25.5">
      <c r="A23" s="445" t="s">
        <v>568</v>
      </c>
      <c r="B23" s="441" t="s">
        <v>1548</v>
      </c>
      <c r="C23" s="441" t="s">
        <v>546</v>
      </c>
      <c r="D23" s="442" t="s">
        <v>569</v>
      </c>
      <c r="E23" s="441" t="s">
        <v>400</v>
      </c>
      <c r="F23" s="443">
        <v>1038.79</v>
      </c>
      <c r="G23" s="444">
        <v>159.88</v>
      </c>
      <c r="H23" s="444">
        <v>166081.74</v>
      </c>
      <c r="I23" s="446">
        <v>2.6345762607673216E-2</v>
      </c>
    </row>
    <row r="24" spans="1:9" s="160" customFormat="1" ht="25.5">
      <c r="A24" s="445" t="s">
        <v>570</v>
      </c>
      <c r="B24" s="441" t="s">
        <v>571</v>
      </c>
      <c r="C24" s="441" t="s">
        <v>9</v>
      </c>
      <c r="D24" s="442" t="s">
        <v>572</v>
      </c>
      <c r="E24" s="441" t="s">
        <v>15</v>
      </c>
      <c r="F24" s="443">
        <v>360.75</v>
      </c>
      <c r="G24" s="444">
        <v>89.34</v>
      </c>
      <c r="H24" s="444">
        <v>32229.4</v>
      </c>
      <c r="I24" s="446">
        <v>5.112591675567363E-3</v>
      </c>
    </row>
    <row r="25" spans="1:9" s="160" customFormat="1" ht="25.5">
      <c r="A25" s="445" t="s">
        <v>573</v>
      </c>
      <c r="B25" s="441" t="s">
        <v>574</v>
      </c>
      <c r="C25" s="441" t="s">
        <v>9</v>
      </c>
      <c r="D25" s="442" t="s">
        <v>575</v>
      </c>
      <c r="E25" s="441" t="s">
        <v>15</v>
      </c>
      <c r="F25" s="443">
        <v>339.06</v>
      </c>
      <c r="G25" s="444">
        <v>39.75</v>
      </c>
      <c r="H25" s="444">
        <v>13477.63</v>
      </c>
      <c r="I25" s="446">
        <v>2.1379739909640565E-3</v>
      </c>
    </row>
    <row r="26" spans="1:9" s="160" customFormat="1" ht="25.5">
      <c r="A26" s="445" t="s">
        <v>576</v>
      </c>
      <c r="B26" s="441" t="s">
        <v>577</v>
      </c>
      <c r="C26" s="441" t="s">
        <v>9</v>
      </c>
      <c r="D26" s="442" t="s">
        <v>578</v>
      </c>
      <c r="E26" s="441" t="s">
        <v>10</v>
      </c>
      <c r="F26" s="443">
        <v>32.4</v>
      </c>
      <c r="G26" s="444">
        <v>6.56</v>
      </c>
      <c r="H26" s="444">
        <v>212.54</v>
      </c>
      <c r="I26" s="446">
        <v>3.3715496866993721E-5</v>
      </c>
    </row>
    <row r="27" spans="1:9" s="160" customFormat="1">
      <c r="A27" s="274" t="s">
        <v>579</v>
      </c>
      <c r="B27" s="256"/>
      <c r="C27" s="256"/>
      <c r="D27" s="255" t="s">
        <v>580</v>
      </c>
      <c r="E27" s="256"/>
      <c r="F27" s="259"/>
      <c r="G27" s="257"/>
      <c r="H27" s="258">
        <v>690948.83</v>
      </c>
      <c r="I27" s="279">
        <v>0.10960611232294146</v>
      </c>
    </row>
    <row r="28" spans="1:9" s="160" customFormat="1" ht="25.5">
      <c r="A28" s="445" t="s">
        <v>581</v>
      </c>
      <c r="B28" s="441" t="s">
        <v>582</v>
      </c>
      <c r="C28" s="441" t="s">
        <v>9</v>
      </c>
      <c r="D28" s="442" t="s">
        <v>583</v>
      </c>
      <c r="E28" s="441" t="s">
        <v>10</v>
      </c>
      <c r="F28" s="443">
        <v>32.4</v>
      </c>
      <c r="G28" s="444">
        <v>35.83</v>
      </c>
      <c r="H28" s="444">
        <v>1160.8900000000001</v>
      </c>
      <c r="I28" s="446">
        <v>1.8415349185058971E-4</v>
      </c>
    </row>
    <row r="29" spans="1:9" s="160" customFormat="1" ht="25.5">
      <c r="A29" s="445" t="s">
        <v>584</v>
      </c>
      <c r="B29" s="441" t="s">
        <v>585</v>
      </c>
      <c r="C29" s="441" t="s">
        <v>546</v>
      </c>
      <c r="D29" s="442" t="s">
        <v>479</v>
      </c>
      <c r="E29" s="441" t="s">
        <v>208</v>
      </c>
      <c r="F29" s="443">
        <v>116.87</v>
      </c>
      <c r="G29" s="444">
        <v>186.28</v>
      </c>
      <c r="H29" s="444">
        <v>21770.54</v>
      </c>
      <c r="I29" s="446">
        <v>3.4534890992884231E-3</v>
      </c>
    </row>
    <row r="30" spans="1:9" s="160" customFormat="1" ht="25.5">
      <c r="A30" s="445" t="s">
        <v>586</v>
      </c>
      <c r="B30" s="441" t="s">
        <v>587</v>
      </c>
      <c r="C30" s="441" t="s">
        <v>588</v>
      </c>
      <c r="D30" s="442" t="s">
        <v>408</v>
      </c>
      <c r="E30" s="441" t="s">
        <v>15</v>
      </c>
      <c r="F30" s="443">
        <v>719.87</v>
      </c>
      <c r="G30" s="444">
        <v>436.69</v>
      </c>
      <c r="H30" s="444">
        <v>314360.03000000003</v>
      </c>
      <c r="I30" s="446">
        <v>4.9867340766787671E-2</v>
      </c>
    </row>
    <row r="31" spans="1:9" s="160" customFormat="1" ht="38.25">
      <c r="A31" s="445" t="s">
        <v>589</v>
      </c>
      <c r="B31" s="441" t="s">
        <v>590</v>
      </c>
      <c r="C31" s="441" t="s">
        <v>9</v>
      </c>
      <c r="D31" s="442" t="s">
        <v>591</v>
      </c>
      <c r="E31" s="441" t="s">
        <v>15</v>
      </c>
      <c r="F31" s="443">
        <v>178.07</v>
      </c>
      <c r="G31" s="444">
        <v>197.55</v>
      </c>
      <c r="H31" s="444">
        <v>35177.72</v>
      </c>
      <c r="I31" s="446">
        <v>5.5802875150464965E-3</v>
      </c>
    </row>
    <row r="32" spans="1:9" s="160" customFormat="1" ht="25.5">
      <c r="A32" s="445" t="s">
        <v>592</v>
      </c>
      <c r="B32" s="441" t="s">
        <v>593</v>
      </c>
      <c r="C32" s="441" t="s">
        <v>9</v>
      </c>
      <c r="D32" s="442" t="s">
        <v>594</v>
      </c>
      <c r="E32" s="441" t="s">
        <v>10</v>
      </c>
      <c r="F32" s="443">
        <v>1780.65</v>
      </c>
      <c r="G32" s="444">
        <v>4.87</v>
      </c>
      <c r="H32" s="444">
        <v>8671.76</v>
      </c>
      <c r="I32" s="446">
        <v>1.3756125769799636E-3</v>
      </c>
    </row>
    <row r="33" spans="1:9" s="160" customFormat="1" ht="38.25">
      <c r="A33" s="445" t="s">
        <v>595</v>
      </c>
      <c r="B33" s="441" t="s">
        <v>596</v>
      </c>
      <c r="C33" s="441" t="s">
        <v>9</v>
      </c>
      <c r="D33" s="442" t="s">
        <v>597</v>
      </c>
      <c r="E33" s="441" t="s">
        <v>10</v>
      </c>
      <c r="F33" s="443">
        <v>25.82</v>
      </c>
      <c r="G33" s="444">
        <v>135.13999999999999</v>
      </c>
      <c r="H33" s="444">
        <v>3489.31</v>
      </c>
      <c r="I33" s="446">
        <v>5.5351378739517201E-4</v>
      </c>
    </row>
    <row r="34" spans="1:9" s="160" customFormat="1" ht="25.5">
      <c r="A34" s="445" t="s">
        <v>598</v>
      </c>
      <c r="B34" s="441" t="s">
        <v>599</v>
      </c>
      <c r="C34" s="441" t="s">
        <v>9</v>
      </c>
      <c r="D34" s="442" t="s">
        <v>600</v>
      </c>
      <c r="E34" s="441" t="s">
        <v>10</v>
      </c>
      <c r="F34" s="443">
        <v>9.7200000000000006</v>
      </c>
      <c r="G34" s="444">
        <v>166.93</v>
      </c>
      <c r="H34" s="444">
        <v>1622.55</v>
      </c>
      <c r="I34" s="446">
        <v>2.5738721860139581E-4</v>
      </c>
    </row>
    <row r="35" spans="1:9" s="160" customFormat="1" ht="38.25">
      <c r="A35" s="445" t="s">
        <v>601</v>
      </c>
      <c r="B35" s="441" t="s">
        <v>602</v>
      </c>
      <c r="C35" s="441" t="s">
        <v>9</v>
      </c>
      <c r="D35" s="442" t="s">
        <v>603</v>
      </c>
      <c r="E35" s="441" t="s">
        <v>10</v>
      </c>
      <c r="F35" s="443">
        <v>80</v>
      </c>
      <c r="G35" s="444">
        <v>85.87</v>
      </c>
      <c r="H35" s="444">
        <v>6869.6</v>
      </c>
      <c r="I35" s="446">
        <v>1.0897335902771246E-3</v>
      </c>
    </row>
    <row r="36" spans="1:9" s="160" customFormat="1" ht="38.25">
      <c r="A36" s="445" t="s">
        <v>604</v>
      </c>
      <c r="B36" s="441" t="s">
        <v>605</v>
      </c>
      <c r="C36" s="441" t="s">
        <v>9</v>
      </c>
      <c r="D36" s="442" t="s">
        <v>606</v>
      </c>
      <c r="E36" s="441" t="s">
        <v>10</v>
      </c>
      <c r="F36" s="443">
        <v>46</v>
      </c>
      <c r="G36" s="444">
        <v>133.38</v>
      </c>
      <c r="H36" s="444">
        <v>6135.48</v>
      </c>
      <c r="I36" s="446">
        <v>9.7327917906042455E-4</v>
      </c>
    </row>
    <row r="37" spans="1:9" s="160" customFormat="1" ht="38.25">
      <c r="A37" s="445" t="s">
        <v>607</v>
      </c>
      <c r="B37" s="441" t="s">
        <v>1549</v>
      </c>
      <c r="C37" s="441" t="s">
        <v>9</v>
      </c>
      <c r="D37" s="442" t="s">
        <v>1550</v>
      </c>
      <c r="E37" s="441" t="s">
        <v>10</v>
      </c>
      <c r="F37" s="443">
        <v>15</v>
      </c>
      <c r="G37" s="444">
        <v>335.09</v>
      </c>
      <c r="H37" s="444">
        <v>5026.3500000000004</v>
      </c>
      <c r="I37" s="446">
        <v>7.9733644338672192E-4</v>
      </c>
    </row>
    <row r="38" spans="1:9" s="160" customFormat="1" ht="25.5">
      <c r="A38" s="445" t="s">
        <v>610</v>
      </c>
      <c r="B38" s="441" t="s">
        <v>608</v>
      </c>
      <c r="C38" s="441" t="s">
        <v>9</v>
      </c>
      <c r="D38" s="442" t="s">
        <v>609</v>
      </c>
      <c r="E38" s="441" t="s">
        <v>209</v>
      </c>
      <c r="F38" s="443">
        <v>181</v>
      </c>
      <c r="G38" s="444">
        <v>17.43</v>
      </c>
      <c r="H38" s="444">
        <v>3154.83</v>
      </c>
      <c r="I38" s="446">
        <v>5.0045478959677143E-4</v>
      </c>
    </row>
    <row r="39" spans="1:9" s="160" customFormat="1" ht="25.5">
      <c r="A39" s="445" t="s">
        <v>613</v>
      </c>
      <c r="B39" s="441" t="s">
        <v>614</v>
      </c>
      <c r="C39" s="441" t="s">
        <v>9</v>
      </c>
      <c r="D39" s="442" t="s">
        <v>615</v>
      </c>
      <c r="E39" s="441" t="s">
        <v>209</v>
      </c>
      <c r="F39" s="443">
        <v>1271</v>
      </c>
      <c r="G39" s="444">
        <v>16.89</v>
      </c>
      <c r="H39" s="444">
        <v>21467.19</v>
      </c>
      <c r="I39" s="446">
        <v>3.4053682939124818E-3</v>
      </c>
    </row>
    <row r="40" spans="1:9" s="160" customFormat="1" ht="25.5">
      <c r="A40" s="445" t="s">
        <v>616</v>
      </c>
      <c r="B40" s="441" t="s">
        <v>617</v>
      </c>
      <c r="C40" s="441" t="s">
        <v>9</v>
      </c>
      <c r="D40" s="442" t="s">
        <v>618</v>
      </c>
      <c r="E40" s="441" t="s">
        <v>209</v>
      </c>
      <c r="F40" s="443">
        <v>5537.82</v>
      </c>
      <c r="G40" s="444">
        <v>22.14</v>
      </c>
      <c r="H40" s="444">
        <v>122607.33</v>
      </c>
      <c r="I40" s="446">
        <v>1.9449360357981862E-2</v>
      </c>
    </row>
    <row r="41" spans="1:9" s="160" customFormat="1" ht="38.25">
      <c r="A41" s="445" t="s">
        <v>619</v>
      </c>
      <c r="B41" s="441" t="s">
        <v>620</v>
      </c>
      <c r="C41" s="441" t="s">
        <v>9</v>
      </c>
      <c r="D41" s="442" t="s">
        <v>621</v>
      </c>
      <c r="E41" s="441" t="s">
        <v>15</v>
      </c>
      <c r="F41" s="443">
        <v>178.07</v>
      </c>
      <c r="G41" s="444">
        <v>744.48</v>
      </c>
      <c r="H41" s="444">
        <v>132569.54999999999</v>
      </c>
      <c r="I41" s="446">
        <v>2.1029680284575927E-2</v>
      </c>
    </row>
    <row r="42" spans="1:9" s="160" customFormat="1" ht="38.25">
      <c r="A42" s="445" t="s">
        <v>622</v>
      </c>
      <c r="B42" s="441" t="s">
        <v>623</v>
      </c>
      <c r="C42" s="441" t="s">
        <v>9</v>
      </c>
      <c r="D42" s="442" t="s">
        <v>624</v>
      </c>
      <c r="E42" s="441" t="s">
        <v>15</v>
      </c>
      <c r="F42" s="443">
        <v>8.39</v>
      </c>
      <c r="G42" s="444">
        <v>588.77</v>
      </c>
      <c r="H42" s="444">
        <v>4939.78</v>
      </c>
      <c r="I42" s="446">
        <v>7.8360373159705574E-4</v>
      </c>
    </row>
    <row r="43" spans="1:9" s="160" customFormat="1" ht="25.5">
      <c r="A43" s="445" t="s">
        <v>625</v>
      </c>
      <c r="B43" s="441" t="s">
        <v>626</v>
      </c>
      <c r="C43" s="441" t="s">
        <v>9</v>
      </c>
      <c r="D43" s="442" t="s">
        <v>627</v>
      </c>
      <c r="E43" s="441" t="s">
        <v>15</v>
      </c>
      <c r="F43" s="443">
        <v>8.39</v>
      </c>
      <c r="G43" s="444">
        <v>229.55</v>
      </c>
      <c r="H43" s="444">
        <v>1925.92</v>
      </c>
      <c r="I43" s="446">
        <v>3.0551119660337134E-4</v>
      </c>
    </row>
    <row r="44" spans="1:9">
      <c r="A44" s="274" t="s">
        <v>628</v>
      </c>
      <c r="B44" s="256"/>
      <c r="C44" s="256"/>
      <c r="D44" s="255" t="s">
        <v>30</v>
      </c>
      <c r="E44" s="256"/>
      <c r="F44" s="259"/>
      <c r="G44" s="257"/>
      <c r="H44" s="258">
        <v>1683573.76</v>
      </c>
      <c r="I44" s="279">
        <v>0.26706749708587951</v>
      </c>
    </row>
    <row r="45" spans="1:9" s="160" customFormat="1">
      <c r="A45" s="274" t="s">
        <v>629</v>
      </c>
      <c r="B45" s="256"/>
      <c r="C45" s="256"/>
      <c r="D45" s="255" t="s">
        <v>134</v>
      </c>
      <c r="E45" s="256"/>
      <c r="F45" s="259"/>
      <c r="G45" s="257"/>
      <c r="H45" s="258">
        <v>1577030.44</v>
      </c>
      <c r="I45" s="279">
        <v>0.25016639154499731</v>
      </c>
    </row>
    <row r="46" spans="1:9" s="160" customFormat="1" ht="25.5">
      <c r="A46" s="445" t="s">
        <v>630</v>
      </c>
      <c r="B46" s="441" t="s">
        <v>614</v>
      </c>
      <c r="C46" s="441" t="s">
        <v>9</v>
      </c>
      <c r="D46" s="442" t="s">
        <v>615</v>
      </c>
      <c r="E46" s="441" t="s">
        <v>209</v>
      </c>
      <c r="F46" s="443">
        <v>1128.49</v>
      </c>
      <c r="G46" s="444">
        <v>16.89</v>
      </c>
      <c r="H46" s="444">
        <v>19060.189999999999</v>
      </c>
      <c r="I46" s="446">
        <v>3.0235427506789545E-3</v>
      </c>
    </row>
    <row r="47" spans="1:9" s="160" customFormat="1" ht="63.75">
      <c r="A47" s="445" t="s">
        <v>631</v>
      </c>
      <c r="B47" s="441" t="s">
        <v>1551</v>
      </c>
      <c r="C47" s="441" t="s">
        <v>546</v>
      </c>
      <c r="D47" s="442" t="s">
        <v>632</v>
      </c>
      <c r="E47" s="441" t="s">
        <v>208</v>
      </c>
      <c r="F47" s="443">
        <v>1641.32</v>
      </c>
      <c r="G47" s="444">
        <v>828.93</v>
      </c>
      <c r="H47" s="444">
        <v>1360539.38</v>
      </c>
      <c r="I47" s="446">
        <v>0.21582413288704044</v>
      </c>
    </row>
    <row r="48" spans="1:9" s="160" customFormat="1" ht="38.25">
      <c r="A48" s="445" t="s">
        <v>633</v>
      </c>
      <c r="B48" s="441" t="s">
        <v>623</v>
      </c>
      <c r="C48" s="441" t="s">
        <v>9</v>
      </c>
      <c r="D48" s="442" t="s">
        <v>624</v>
      </c>
      <c r="E48" s="441" t="s">
        <v>15</v>
      </c>
      <c r="F48" s="443">
        <v>127.9</v>
      </c>
      <c r="G48" s="444">
        <v>588.77</v>
      </c>
      <c r="H48" s="444">
        <v>75303.679999999993</v>
      </c>
      <c r="I48" s="446">
        <v>1.1945520782502576E-2</v>
      </c>
    </row>
    <row r="49" spans="1:9" s="160" customFormat="1" ht="25.5">
      <c r="A49" s="445" t="s">
        <v>634</v>
      </c>
      <c r="B49" s="441" t="s">
        <v>626</v>
      </c>
      <c r="C49" s="441" t="s">
        <v>9</v>
      </c>
      <c r="D49" s="442" t="s">
        <v>627</v>
      </c>
      <c r="E49" s="441" t="s">
        <v>15</v>
      </c>
      <c r="F49" s="443">
        <v>127.9</v>
      </c>
      <c r="G49" s="444">
        <v>229.55</v>
      </c>
      <c r="H49" s="444">
        <v>29359.439999999999</v>
      </c>
      <c r="I49" s="446">
        <v>4.6573261848907978E-3</v>
      </c>
    </row>
    <row r="50" spans="1:9" s="160" customFormat="1" ht="38.25">
      <c r="A50" s="445" t="s">
        <v>635</v>
      </c>
      <c r="B50" s="441" t="s">
        <v>636</v>
      </c>
      <c r="C50" s="441" t="s">
        <v>9</v>
      </c>
      <c r="D50" s="442" t="s">
        <v>637</v>
      </c>
      <c r="E50" s="441" t="s">
        <v>10</v>
      </c>
      <c r="F50" s="443">
        <v>11.52</v>
      </c>
      <c r="G50" s="444">
        <v>1144.95</v>
      </c>
      <c r="H50" s="444">
        <v>13189.82</v>
      </c>
      <c r="I50" s="446">
        <v>2.0923183160168018E-3</v>
      </c>
    </row>
    <row r="51" spans="1:9" s="160" customFormat="1">
      <c r="A51" s="445" t="s">
        <v>638</v>
      </c>
      <c r="B51" s="441" t="s">
        <v>639</v>
      </c>
      <c r="C51" s="441" t="s">
        <v>546</v>
      </c>
      <c r="D51" s="442" t="s">
        <v>640</v>
      </c>
      <c r="E51" s="441" t="s">
        <v>208</v>
      </c>
      <c r="F51" s="443">
        <v>84.38</v>
      </c>
      <c r="G51" s="444">
        <v>943.09</v>
      </c>
      <c r="H51" s="444">
        <v>79577.929999999993</v>
      </c>
      <c r="I51" s="446">
        <v>1.2623550623867722E-2</v>
      </c>
    </row>
    <row r="52" spans="1:9" s="160" customFormat="1">
      <c r="A52" s="274" t="s">
        <v>641</v>
      </c>
      <c r="B52" s="256"/>
      <c r="C52" s="256"/>
      <c r="D52" s="255" t="s">
        <v>642</v>
      </c>
      <c r="E52" s="256"/>
      <c r="F52" s="259"/>
      <c r="G52" s="257"/>
      <c r="H52" s="258">
        <v>106543.32</v>
      </c>
      <c r="I52" s="279">
        <v>1.6901105540882231E-2</v>
      </c>
    </row>
    <row r="53" spans="1:9" s="160" customFormat="1" ht="38.25">
      <c r="A53" s="445" t="s">
        <v>643</v>
      </c>
      <c r="B53" s="441" t="s">
        <v>644</v>
      </c>
      <c r="C53" s="441" t="s">
        <v>9</v>
      </c>
      <c r="D53" s="442" t="s">
        <v>645</v>
      </c>
      <c r="E53" s="441" t="s">
        <v>10</v>
      </c>
      <c r="F53" s="443">
        <v>101.65</v>
      </c>
      <c r="G53" s="444">
        <v>92.86</v>
      </c>
      <c r="H53" s="444">
        <v>9439.2099999999991</v>
      </c>
      <c r="I53" s="446">
        <v>1.497354169482901E-3</v>
      </c>
    </row>
    <row r="54" spans="1:9" s="160" customFormat="1" ht="63.75">
      <c r="A54" s="445" t="s">
        <v>646</v>
      </c>
      <c r="B54" s="441" t="s">
        <v>1164</v>
      </c>
      <c r="C54" s="441" t="s">
        <v>11</v>
      </c>
      <c r="D54" s="442" t="s">
        <v>1165</v>
      </c>
      <c r="E54" s="441" t="s">
        <v>210</v>
      </c>
      <c r="F54" s="443">
        <v>144.19999999999999</v>
      </c>
      <c r="G54" s="444">
        <v>299.62</v>
      </c>
      <c r="H54" s="444">
        <v>43205.2</v>
      </c>
      <c r="I54" s="446">
        <v>6.8536971169560418E-3</v>
      </c>
    </row>
    <row r="55" spans="1:9" s="160" customFormat="1" ht="38.25">
      <c r="A55" s="445" t="s">
        <v>647</v>
      </c>
      <c r="B55" s="441" t="s">
        <v>648</v>
      </c>
      <c r="C55" s="441" t="s">
        <v>9</v>
      </c>
      <c r="D55" s="442" t="s">
        <v>649</v>
      </c>
      <c r="E55" s="441" t="s">
        <v>10</v>
      </c>
      <c r="F55" s="443">
        <v>81.150000000000006</v>
      </c>
      <c r="G55" s="444">
        <v>238.2</v>
      </c>
      <c r="H55" s="444">
        <v>19329.93</v>
      </c>
      <c r="I55" s="446">
        <v>3.0663319580041776E-3</v>
      </c>
    </row>
    <row r="56" spans="1:9" s="160" customFormat="1" ht="38.25">
      <c r="A56" s="445" t="s">
        <v>650</v>
      </c>
      <c r="B56" s="441" t="s">
        <v>602</v>
      </c>
      <c r="C56" s="441" t="s">
        <v>9</v>
      </c>
      <c r="D56" s="442" t="s">
        <v>603</v>
      </c>
      <c r="E56" s="441" t="s">
        <v>10</v>
      </c>
      <c r="F56" s="443">
        <v>60.99</v>
      </c>
      <c r="G56" s="444">
        <v>85.87</v>
      </c>
      <c r="H56" s="444">
        <v>5237.21</v>
      </c>
      <c r="I56" s="446">
        <v>8.3078543966683062E-4</v>
      </c>
    </row>
    <row r="57" spans="1:9" s="160" customFormat="1" ht="38.25">
      <c r="A57" s="445" t="s">
        <v>651</v>
      </c>
      <c r="B57" s="441" t="s">
        <v>605</v>
      </c>
      <c r="C57" s="441" t="s">
        <v>9</v>
      </c>
      <c r="D57" s="442" t="s">
        <v>606</v>
      </c>
      <c r="E57" s="441" t="s">
        <v>10</v>
      </c>
      <c r="F57" s="443">
        <v>46</v>
      </c>
      <c r="G57" s="444">
        <v>133.38</v>
      </c>
      <c r="H57" s="444">
        <v>6135.48</v>
      </c>
      <c r="I57" s="446">
        <v>9.7327917906042455E-4</v>
      </c>
    </row>
    <row r="58" spans="1:9" s="160" customFormat="1" ht="25.5">
      <c r="A58" s="445" t="s">
        <v>652</v>
      </c>
      <c r="B58" s="441" t="s">
        <v>608</v>
      </c>
      <c r="C58" s="441" t="s">
        <v>9</v>
      </c>
      <c r="D58" s="442" t="s">
        <v>609</v>
      </c>
      <c r="E58" s="441" t="s">
        <v>209</v>
      </c>
      <c r="F58" s="443">
        <v>234</v>
      </c>
      <c r="G58" s="444">
        <v>17.43</v>
      </c>
      <c r="H58" s="444">
        <v>4078.62</v>
      </c>
      <c r="I58" s="446">
        <v>6.4699679981019068E-4</v>
      </c>
    </row>
    <row r="59" spans="1:9" s="160" customFormat="1" ht="25.5">
      <c r="A59" s="445" t="s">
        <v>653</v>
      </c>
      <c r="B59" s="441" t="s">
        <v>611</v>
      </c>
      <c r="C59" s="441" t="s">
        <v>9</v>
      </c>
      <c r="D59" s="442" t="s">
        <v>612</v>
      </c>
      <c r="E59" s="441" t="s">
        <v>209</v>
      </c>
      <c r="F59" s="443">
        <v>348</v>
      </c>
      <c r="G59" s="444">
        <v>18.21</v>
      </c>
      <c r="H59" s="444">
        <v>6337.08</v>
      </c>
      <c r="I59" s="446">
        <v>1.0052592494866311E-3</v>
      </c>
    </row>
    <row r="60" spans="1:9" s="160" customFormat="1" ht="25.5">
      <c r="A60" s="445" t="s">
        <v>654</v>
      </c>
      <c r="B60" s="441" t="s">
        <v>614</v>
      </c>
      <c r="C60" s="441" t="s">
        <v>9</v>
      </c>
      <c r="D60" s="442" t="s">
        <v>615</v>
      </c>
      <c r="E60" s="441" t="s">
        <v>209</v>
      </c>
      <c r="F60" s="443">
        <v>419</v>
      </c>
      <c r="G60" s="444">
        <v>16.89</v>
      </c>
      <c r="H60" s="444">
        <v>7076.91</v>
      </c>
      <c r="I60" s="446">
        <v>1.1226194454361368E-3</v>
      </c>
    </row>
    <row r="61" spans="1:9" s="160" customFormat="1" ht="38.25">
      <c r="A61" s="445" t="s">
        <v>1181</v>
      </c>
      <c r="B61" s="441" t="s">
        <v>623</v>
      </c>
      <c r="C61" s="441" t="s">
        <v>9</v>
      </c>
      <c r="D61" s="442" t="s">
        <v>624</v>
      </c>
      <c r="E61" s="441" t="s">
        <v>15</v>
      </c>
      <c r="F61" s="443">
        <v>6.97</v>
      </c>
      <c r="G61" s="444">
        <v>588.77</v>
      </c>
      <c r="H61" s="444">
        <v>4103.72</v>
      </c>
      <c r="I61" s="446">
        <v>6.5097844548329476E-4</v>
      </c>
    </row>
    <row r="62" spans="1:9" s="160" customFormat="1" ht="25.5">
      <c r="A62" s="445" t="s">
        <v>1182</v>
      </c>
      <c r="B62" s="441" t="s">
        <v>626</v>
      </c>
      <c r="C62" s="441" t="s">
        <v>9</v>
      </c>
      <c r="D62" s="442" t="s">
        <v>627</v>
      </c>
      <c r="E62" s="441" t="s">
        <v>15</v>
      </c>
      <c r="F62" s="443">
        <v>6.97</v>
      </c>
      <c r="G62" s="444">
        <v>229.55</v>
      </c>
      <c r="H62" s="444">
        <v>1599.96</v>
      </c>
      <c r="I62" s="446">
        <v>2.5380373749560211E-4</v>
      </c>
    </row>
    <row r="63" spans="1:9" s="160" customFormat="1">
      <c r="A63" s="274" t="s">
        <v>655</v>
      </c>
      <c r="B63" s="256"/>
      <c r="C63" s="256"/>
      <c r="D63" s="255" t="s">
        <v>34</v>
      </c>
      <c r="E63" s="256"/>
      <c r="F63" s="259"/>
      <c r="G63" s="257"/>
      <c r="H63" s="258">
        <v>126781.89</v>
      </c>
      <c r="I63" s="279">
        <v>2.0111576244878811E-2</v>
      </c>
    </row>
    <row r="64" spans="1:9" s="160" customFormat="1" ht="63.75">
      <c r="A64" s="445" t="s">
        <v>656</v>
      </c>
      <c r="B64" s="441" t="s">
        <v>1552</v>
      </c>
      <c r="C64" s="441" t="s">
        <v>546</v>
      </c>
      <c r="D64" s="442" t="s">
        <v>207</v>
      </c>
      <c r="E64" s="441" t="s">
        <v>441</v>
      </c>
      <c r="F64" s="443">
        <v>18</v>
      </c>
      <c r="G64" s="444">
        <v>1020.78</v>
      </c>
      <c r="H64" s="444">
        <v>18374.04</v>
      </c>
      <c r="I64" s="446">
        <v>2.9146978830056334E-3</v>
      </c>
    </row>
    <row r="65" spans="1:9" s="160" customFormat="1" ht="38.25">
      <c r="A65" s="445" t="s">
        <v>657</v>
      </c>
      <c r="B65" s="441" t="s">
        <v>658</v>
      </c>
      <c r="C65" s="441" t="s">
        <v>9</v>
      </c>
      <c r="D65" s="442" t="s">
        <v>659</v>
      </c>
      <c r="E65" s="441" t="s">
        <v>10</v>
      </c>
      <c r="F65" s="443">
        <v>38.85</v>
      </c>
      <c r="G65" s="444">
        <v>639.29999999999995</v>
      </c>
      <c r="H65" s="444">
        <v>24836.799999999999</v>
      </c>
      <c r="I65" s="446">
        <v>3.9398939144920939E-3</v>
      </c>
    </row>
    <row r="66" spans="1:9" s="160" customFormat="1" ht="25.5">
      <c r="A66" s="445" t="s">
        <v>660</v>
      </c>
      <c r="B66" s="441" t="s">
        <v>661</v>
      </c>
      <c r="C66" s="441" t="s">
        <v>9</v>
      </c>
      <c r="D66" s="442" t="s">
        <v>662</v>
      </c>
      <c r="E66" s="441" t="s">
        <v>10</v>
      </c>
      <c r="F66" s="443">
        <v>6.81</v>
      </c>
      <c r="G66" s="444">
        <v>691.2</v>
      </c>
      <c r="H66" s="444">
        <v>4707.07</v>
      </c>
      <c r="I66" s="446">
        <v>7.4668864137442429E-4</v>
      </c>
    </row>
    <row r="67" spans="1:9" s="160" customFormat="1" ht="38.25">
      <c r="A67" s="445" t="s">
        <v>663</v>
      </c>
      <c r="B67" s="441" t="s">
        <v>664</v>
      </c>
      <c r="C67" s="441" t="s">
        <v>9</v>
      </c>
      <c r="D67" s="442" t="s">
        <v>665</v>
      </c>
      <c r="E67" s="441" t="s">
        <v>10</v>
      </c>
      <c r="F67" s="443">
        <v>28.52</v>
      </c>
      <c r="G67" s="444">
        <v>776.77</v>
      </c>
      <c r="H67" s="444">
        <v>22153.48</v>
      </c>
      <c r="I67" s="446">
        <v>3.5142353699680437E-3</v>
      </c>
    </row>
    <row r="68" spans="1:9" s="160" customFormat="1" ht="51">
      <c r="A68" s="445" t="s">
        <v>666</v>
      </c>
      <c r="B68" s="441" t="s">
        <v>667</v>
      </c>
      <c r="C68" s="441" t="s">
        <v>9</v>
      </c>
      <c r="D68" s="442" t="s">
        <v>668</v>
      </c>
      <c r="E68" s="441" t="s">
        <v>10</v>
      </c>
      <c r="F68" s="443">
        <v>37.71</v>
      </c>
      <c r="G68" s="444">
        <v>376.3</v>
      </c>
      <c r="H68" s="444">
        <v>14190.27</v>
      </c>
      <c r="I68" s="446">
        <v>2.2510210018198691E-3</v>
      </c>
    </row>
    <row r="69" spans="1:9" s="160" customFormat="1" ht="25.5">
      <c r="A69" s="445" t="s">
        <v>669</v>
      </c>
      <c r="B69" s="441" t="s">
        <v>670</v>
      </c>
      <c r="C69" s="441" t="s">
        <v>546</v>
      </c>
      <c r="D69" s="442" t="s">
        <v>671</v>
      </c>
      <c r="E69" s="441" t="s">
        <v>208</v>
      </c>
      <c r="F69" s="443">
        <v>31.6</v>
      </c>
      <c r="G69" s="444">
        <v>584.6</v>
      </c>
      <c r="H69" s="444">
        <v>18473.36</v>
      </c>
      <c r="I69" s="446">
        <v>2.930453143892195E-3</v>
      </c>
    </row>
    <row r="70" spans="1:9" s="160" customFormat="1" ht="25.5">
      <c r="A70" s="445" t="s">
        <v>672</v>
      </c>
      <c r="B70" s="441" t="s">
        <v>673</v>
      </c>
      <c r="C70" s="441" t="s">
        <v>9</v>
      </c>
      <c r="D70" s="442" t="s">
        <v>674</v>
      </c>
      <c r="E70" s="441" t="s">
        <v>10</v>
      </c>
      <c r="F70" s="443">
        <v>31.07</v>
      </c>
      <c r="G70" s="444">
        <v>368.23</v>
      </c>
      <c r="H70" s="444">
        <v>11440.9</v>
      </c>
      <c r="I70" s="446">
        <v>1.8148848598173917E-3</v>
      </c>
    </row>
    <row r="71" spans="1:9" s="160" customFormat="1" ht="25.5">
      <c r="A71" s="445" t="s">
        <v>1553</v>
      </c>
      <c r="B71" s="441" t="s">
        <v>1554</v>
      </c>
      <c r="C71" s="441" t="s">
        <v>9</v>
      </c>
      <c r="D71" s="442" t="s">
        <v>1555</v>
      </c>
      <c r="E71" s="441" t="s">
        <v>10</v>
      </c>
      <c r="F71" s="443">
        <v>20.399999999999999</v>
      </c>
      <c r="G71" s="444">
        <v>617.94000000000005</v>
      </c>
      <c r="H71" s="444">
        <v>12605.97</v>
      </c>
      <c r="I71" s="446">
        <v>1.9997014305091596E-3</v>
      </c>
    </row>
    <row r="72" spans="1:9" s="160" customFormat="1">
      <c r="A72" s="274" t="s">
        <v>675</v>
      </c>
      <c r="B72" s="256"/>
      <c r="C72" s="256"/>
      <c r="D72" s="255" t="s">
        <v>676</v>
      </c>
      <c r="E72" s="256"/>
      <c r="F72" s="259"/>
      <c r="G72" s="257"/>
      <c r="H72" s="258">
        <v>1132272.5900000001</v>
      </c>
      <c r="I72" s="279">
        <v>0.1796138748505122</v>
      </c>
    </row>
    <row r="73" spans="1:9" s="160" customFormat="1" ht="38.25">
      <c r="A73" s="445" t="s">
        <v>677</v>
      </c>
      <c r="B73" s="441" t="s">
        <v>679</v>
      </c>
      <c r="C73" s="441" t="s">
        <v>9</v>
      </c>
      <c r="D73" s="442" t="s">
        <v>680</v>
      </c>
      <c r="E73" s="441" t="s">
        <v>448</v>
      </c>
      <c r="F73" s="443">
        <v>5</v>
      </c>
      <c r="G73" s="444">
        <v>1739.92</v>
      </c>
      <c r="H73" s="444">
        <v>8699.6</v>
      </c>
      <c r="I73" s="446">
        <v>1.3800288724197731E-3</v>
      </c>
    </row>
    <row r="74" spans="1:9" s="160" customFormat="1" ht="38.25">
      <c r="A74" s="445" t="s">
        <v>678</v>
      </c>
      <c r="B74" s="441" t="s">
        <v>1556</v>
      </c>
      <c r="C74" s="441" t="s">
        <v>9</v>
      </c>
      <c r="D74" s="442" t="s">
        <v>1557</v>
      </c>
      <c r="E74" s="441" t="s">
        <v>448</v>
      </c>
      <c r="F74" s="443">
        <v>17</v>
      </c>
      <c r="G74" s="444">
        <v>1936.54</v>
      </c>
      <c r="H74" s="444">
        <v>32921.18</v>
      </c>
      <c r="I74" s="446">
        <v>5.2223296374693529E-3</v>
      </c>
    </row>
    <row r="75" spans="1:9" s="160" customFormat="1" ht="38.25">
      <c r="A75" s="445" t="s">
        <v>681</v>
      </c>
      <c r="B75" s="441" t="s">
        <v>1558</v>
      </c>
      <c r="C75" s="441" t="s">
        <v>9</v>
      </c>
      <c r="D75" s="442" t="s">
        <v>1559</v>
      </c>
      <c r="E75" s="441" t="s">
        <v>448</v>
      </c>
      <c r="F75" s="443">
        <v>26</v>
      </c>
      <c r="G75" s="444">
        <v>2467.37</v>
      </c>
      <c r="H75" s="444">
        <v>64151.62</v>
      </c>
      <c r="I75" s="446">
        <v>1.0176454987873208E-2</v>
      </c>
    </row>
    <row r="76" spans="1:9" s="160" customFormat="1" ht="38.25">
      <c r="A76" s="445" t="s">
        <v>682</v>
      </c>
      <c r="B76" s="441" t="s">
        <v>683</v>
      </c>
      <c r="C76" s="441" t="s">
        <v>9</v>
      </c>
      <c r="D76" s="442" t="s">
        <v>684</v>
      </c>
      <c r="E76" s="441" t="s">
        <v>448</v>
      </c>
      <c r="F76" s="443">
        <v>8</v>
      </c>
      <c r="G76" s="444">
        <v>2811.96</v>
      </c>
      <c r="H76" s="444">
        <v>22495.68</v>
      </c>
      <c r="I76" s="446">
        <v>3.5685190014157018E-3</v>
      </c>
    </row>
    <row r="77" spans="1:9" s="160" customFormat="1" ht="51">
      <c r="A77" s="445" t="s">
        <v>685</v>
      </c>
      <c r="B77" s="441" t="s">
        <v>687</v>
      </c>
      <c r="C77" s="441" t="s">
        <v>9</v>
      </c>
      <c r="D77" s="442" t="s">
        <v>688</v>
      </c>
      <c r="E77" s="441" t="s">
        <v>10</v>
      </c>
      <c r="F77" s="443">
        <v>1827.97</v>
      </c>
      <c r="G77" s="444">
        <v>75.41</v>
      </c>
      <c r="H77" s="444">
        <v>137847.21</v>
      </c>
      <c r="I77" s="446">
        <v>2.186688236039722E-2</v>
      </c>
    </row>
    <row r="78" spans="1:9" s="160" customFormat="1" ht="25.5">
      <c r="A78" s="445" t="s">
        <v>686</v>
      </c>
      <c r="B78" s="441" t="s">
        <v>690</v>
      </c>
      <c r="C78" s="441" t="s">
        <v>9</v>
      </c>
      <c r="D78" s="442" t="s">
        <v>691</v>
      </c>
      <c r="E78" s="441" t="s">
        <v>10</v>
      </c>
      <c r="F78" s="443">
        <v>1827.97</v>
      </c>
      <c r="G78" s="444">
        <v>332.68</v>
      </c>
      <c r="H78" s="444">
        <v>608129.05000000005</v>
      </c>
      <c r="I78" s="446">
        <v>9.6468302813601525E-2</v>
      </c>
    </row>
    <row r="79" spans="1:9" s="160" customFormat="1">
      <c r="A79" s="445" t="s">
        <v>689</v>
      </c>
      <c r="B79" s="441" t="s">
        <v>693</v>
      </c>
      <c r="C79" s="441" t="s">
        <v>546</v>
      </c>
      <c r="D79" s="442" t="s">
        <v>694</v>
      </c>
      <c r="E79" s="441" t="s">
        <v>210</v>
      </c>
      <c r="F79" s="443">
        <v>224.38</v>
      </c>
      <c r="G79" s="444">
        <v>187.16</v>
      </c>
      <c r="H79" s="444">
        <v>41994.96</v>
      </c>
      <c r="I79" s="446">
        <v>6.6617151703657037E-3</v>
      </c>
    </row>
    <row r="80" spans="1:9" s="160" customFormat="1" ht="25.5">
      <c r="A80" s="445" t="s">
        <v>692</v>
      </c>
      <c r="B80" s="441" t="s">
        <v>696</v>
      </c>
      <c r="C80" s="441" t="s">
        <v>9</v>
      </c>
      <c r="D80" s="442" t="s">
        <v>697</v>
      </c>
      <c r="E80" s="441" t="s">
        <v>210</v>
      </c>
      <c r="F80" s="443">
        <v>74.8</v>
      </c>
      <c r="G80" s="444">
        <v>68.3</v>
      </c>
      <c r="H80" s="444">
        <v>5108.84</v>
      </c>
      <c r="I80" s="446">
        <v>8.1042193946538154E-4</v>
      </c>
    </row>
    <row r="81" spans="1:9" s="160" customFormat="1" ht="38.25">
      <c r="A81" s="445" t="s">
        <v>695</v>
      </c>
      <c r="B81" s="441" t="s">
        <v>699</v>
      </c>
      <c r="C81" s="441" t="s">
        <v>9</v>
      </c>
      <c r="D81" s="442" t="s">
        <v>700</v>
      </c>
      <c r="E81" s="441" t="s">
        <v>210</v>
      </c>
      <c r="F81" s="443">
        <v>378.15</v>
      </c>
      <c r="G81" s="444">
        <v>218.11</v>
      </c>
      <c r="H81" s="444">
        <v>82478.289999999994</v>
      </c>
      <c r="I81" s="446">
        <v>1.3083638506116492E-2</v>
      </c>
    </row>
    <row r="82" spans="1:9" s="160" customFormat="1" ht="51">
      <c r="A82" s="445" t="s">
        <v>698</v>
      </c>
      <c r="B82" s="441" t="s">
        <v>702</v>
      </c>
      <c r="C82" s="441" t="s">
        <v>11</v>
      </c>
      <c r="D82" s="442" t="s">
        <v>703</v>
      </c>
      <c r="E82" s="441" t="s">
        <v>10</v>
      </c>
      <c r="F82" s="443">
        <v>749.51</v>
      </c>
      <c r="G82" s="444">
        <v>90.03</v>
      </c>
      <c r="H82" s="444">
        <v>67478.38</v>
      </c>
      <c r="I82" s="446">
        <v>1.0704183257174234E-2</v>
      </c>
    </row>
    <row r="83" spans="1:9" s="160" customFormat="1" ht="25.5">
      <c r="A83" s="445" t="s">
        <v>701</v>
      </c>
      <c r="B83" s="441" t="s">
        <v>705</v>
      </c>
      <c r="C83" s="441" t="s">
        <v>9</v>
      </c>
      <c r="D83" s="442" t="s">
        <v>706</v>
      </c>
      <c r="E83" s="441" t="s">
        <v>10</v>
      </c>
      <c r="F83" s="443">
        <v>480.87</v>
      </c>
      <c r="G83" s="444">
        <v>88.48</v>
      </c>
      <c r="H83" s="444">
        <v>42547.37</v>
      </c>
      <c r="I83" s="446">
        <v>6.7493446877473539E-3</v>
      </c>
    </row>
    <row r="84" spans="1:9" s="160" customFormat="1" ht="25.5">
      <c r="A84" s="445" t="s">
        <v>704</v>
      </c>
      <c r="B84" s="441" t="s">
        <v>707</v>
      </c>
      <c r="C84" s="441" t="s">
        <v>9</v>
      </c>
      <c r="D84" s="442" t="s">
        <v>708</v>
      </c>
      <c r="E84" s="441" t="s">
        <v>10</v>
      </c>
      <c r="F84" s="443">
        <v>319.3</v>
      </c>
      <c r="G84" s="444">
        <v>57.69</v>
      </c>
      <c r="H84" s="444">
        <v>18420.41</v>
      </c>
      <c r="I84" s="446">
        <v>2.9220536164662643E-3</v>
      </c>
    </row>
    <row r="85" spans="1:9" s="160" customFormat="1">
      <c r="A85" s="274" t="s">
        <v>709</v>
      </c>
      <c r="B85" s="256"/>
      <c r="C85" s="256"/>
      <c r="D85" s="255" t="s">
        <v>48</v>
      </c>
      <c r="E85" s="256"/>
      <c r="F85" s="259"/>
      <c r="G85" s="257"/>
      <c r="H85" s="258">
        <v>436504.16</v>
      </c>
      <c r="I85" s="279">
        <v>6.9243223105814086E-2</v>
      </c>
    </row>
    <row r="86" spans="1:9" s="160" customFormat="1" ht="51">
      <c r="A86" s="445" t="s">
        <v>710</v>
      </c>
      <c r="B86" s="441" t="s">
        <v>711</v>
      </c>
      <c r="C86" s="441" t="s">
        <v>9</v>
      </c>
      <c r="D86" s="442" t="s">
        <v>712</v>
      </c>
      <c r="E86" s="441" t="s">
        <v>10</v>
      </c>
      <c r="F86" s="443">
        <v>558.82000000000005</v>
      </c>
      <c r="G86" s="444">
        <v>87.06</v>
      </c>
      <c r="H86" s="444">
        <v>48650.86</v>
      </c>
      <c r="I86" s="446">
        <v>7.7175492514658418E-3</v>
      </c>
    </row>
    <row r="87" spans="1:9" s="160" customFormat="1" ht="25.5">
      <c r="A87" s="445" t="s">
        <v>713</v>
      </c>
      <c r="B87" s="441" t="s">
        <v>714</v>
      </c>
      <c r="C87" s="441" t="s">
        <v>11</v>
      </c>
      <c r="D87" s="442" t="s">
        <v>715</v>
      </c>
      <c r="E87" s="441" t="s">
        <v>10</v>
      </c>
      <c r="F87" s="443">
        <v>698.73</v>
      </c>
      <c r="G87" s="444">
        <v>89.84</v>
      </c>
      <c r="H87" s="444">
        <v>62773.9</v>
      </c>
      <c r="I87" s="446">
        <v>9.9579054708712582E-3</v>
      </c>
    </row>
    <row r="88" spans="1:9" s="160" customFormat="1" ht="25.5">
      <c r="A88" s="445" t="s">
        <v>716</v>
      </c>
      <c r="B88" s="441" t="s">
        <v>717</v>
      </c>
      <c r="C88" s="441" t="s">
        <v>11</v>
      </c>
      <c r="D88" s="442" t="s">
        <v>718</v>
      </c>
      <c r="E88" s="441" t="s">
        <v>10</v>
      </c>
      <c r="F88" s="443">
        <v>698.73</v>
      </c>
      <c r="G88" s="444">
        <v>18.07</v>
      </c>
      <c r="H88" s="444">
        <v>12626.05</v>
      </c>
      <c r="I88" s="446">
        <v>2.0028867470476431E-3</v>
      </c>
    </row>
    <row r="89" spans="1:9" s="160" customFormat="1" ht="51">
      <c r="A89" s="445" t="s">
        <v>719</v>
      </c>
      <c r="B89" s="441" t="s">
        <v>720</v>
      </c>
      <c r="C89" s="441" t="s">
        <v>9</v>
      </c>
      <c r="D89" s="442" t="s">
        <v>721</v>
      </c>
      <c r="E89" s="441" t="s">
        <v>10</v>
      </c>
      <c r="F89" s="443">
        <v>370.8</v>
      </c>
      <c r="G89" s="444">
        <v>7.57</v>
      </c>
      <c r="H89" s="444">
        <v>2806.95</v>
      </c>
      <c r="I89" s="446">
        <v>4.4527013235535909E-4</v>
      </c>
    </row>
    <row r="90" spans="1:9" s="160" customFormat="1" ht="38.25">
      <c r="A90" s="445" t="s">
        <v>722</v>
      </c>
      <c r="B90" s="441" t="s">
        <v>723</v>
      </c>
      <c r="C90" s="441" t="s">
        <v>9</v>
      </c>
      <c r="D90" s="442" t="s">
        <v>1560</v>
      </c>
      <c r="E90" s="441" t="s">
        <v>10</v>
      </c>
      <c r="F90" s="443">
        <v>370.8</v>
      </c>
      <c r="G90" s="444">
        <v>51.41</v>
      </c>
      <c r="H90" s="444">
        <v>19062.82</v>
      </c>
      <c r="I90" s="446">
        <v>3.0239599510024713E-3</v>
      </c>
    </row>
    <row r="91" spans="1:9" s="160" customFormat="1" ht="25.5">
      <c r="A91" s="445" t="s">
        <v>724</v>
      </c>
      <c r="B91" s="441" t="s">
        <v>714</v>
      </c>
      <c r="C91" s="441" t="s">
        <v>11</v>
      </c>
      <c r="D91" s="442" t="s">
        <v>715</v>
      </c>
      <c r="E91" s="441" t="s">
        <v>10</v>
      </c>
      <c r="F91" s="443">
        <v>283.77</v>
      </c>
      <c r="G91" s="444">
        <v>89.84</v>
      </c>
      <c r="H91" s="444">
        <v>25493.89</v>
      </c>
      <c r="I91" s="446">
        <v>4.0441289565375108E-3</v>
      </c>
    </row>
    <row r="92" spans="1:9" s="160" customFormat="1" ht="25.5">
      <c r="A92" s="445" t="s">
        <v>727</v>
      </c>
      <c r="B92" s="441" t="s">
        <v>717</v>
      </c>
      <c r="C92" s="441" t="s">
        <v>11</v>
      </c>
      <c r="D92" s="442" t="s">
        <v>718</v>
      </c>
      <c r="E92" s="441" t="s">
        <v>10</v>
      </c>
      <c r="F92" s="443">
        <v>283.77</v>
      </c>
      <c r="G92" s="444">
        <v>18.07</v>
      </c>
      <c r="H92" s="444">
        <v>5127.72</v>
      </c>
      <c r="I92" s="446">
        <v>8.134168984418041E-4</v>
      </c>
    </row>
    <row r="93" spans="1:9" s="160" customFormat="1" ht="38.25">
      <c r="A93" s="445" t="s">
        <v>729</v>
      </c>
      <c r="B93" s="441" t="s">
        <v>725</v>
      </c>
      <c r="C93" s="441" t="s">
        <v>546</v>
      </c>
      <c r="D93" s="442" t="s">
        <v>726</v>
      </c>
      <c r="E93" s="441" t="s">
        <v>208</v>
      </c>
      <c r="F93" s="443">
        <v>597.6</v>
      </c>
      <c r="G93" s="444">
        <v>138.94</v>
      </c>
      <c r="H93" s="444">
        <v>83030.539999999994</v>
      </c>
      <c r="I93" s="446">
        <v>1.3171242642489868E-2</v>
      </c>
    </row>
    <row r="94" spans="1:9" s="160" customFormat="1" ht="51">
      <c r="A94" s="445" t="s">
        <v>730</v>
      </c>
      <c r="B94" s="441" t="s">
        <v>728</v>
      </c>
      <c r="C94" s="441" t="s">
        <v>546</v>
      </c>
      <c r="D94" s="442" t="s">
        <v>484</v>
      </c>
      <c r="E94" s="441" t="s">
        <v>208</v>
      </c>
      <c r="F94" s="443">
        <v>597.6</v>
      </c>
      <c r="G94" s="444">
        <v>296.07</v>
      </c>
      <c r="H94" s="444">
        <v>176931.43</v>
      </c>
      <c r="I94" s="446">
        <v>2.8066863055602326E-2</v>
      </c>
    </row>
    <row r="95" spans="1:9" s="160" customFormat="1">
      <c r="A95" s="274" t="s">
        <v>731</v>
      </c>
      <c r="B95" s="256"/>
      <c r="C95" s="256"/>
      <c r="D95" s="255" t="s">
        <v>55</v>
      </c>
      <c r="E95" s="256"/>
      <c r="F95" s="259"/>
      <c r="G95" s="257"/>
      <c r="H95" s="258">
        <v>393434.48</v>
      </c>
      <c r="I95" s="279">
        <v>6.2411023702866768E-2</v>
      </c>
    </row>
    <row r="96" spans="1:9" s="160" customFormat="1" ht="51">
      <c r="A96" s="445" t="s">
        <v>732</v>
      </c>
      <c r="B96" s="441" t="s">
        <v>733</v>
      </c>
      <c r="C96" s="441" t="s">
        <v>9</v>
      </c>
      <c r="D96" s="442" t="s">
        <v>734</v>
      </c>
      <c r="E96" s="441" t="s">
        <v>10</v>
      </c>
      <c r="F96" s="443">
        <v>2952.51</v>
      </c>
      <c r="G96" s="444">
        <v>39.51</v>
      </c>
      <c r="H96" s="444">
        <v>116653.67</v>
      </c>
      <c r="I96" s="446">
        <v>1.8504923522199675E-2</v>
      </c>
    </row>
    <row r="97" spans="1:9" s="160" customFormat="1" ht="38.25">
      <c r="A97" s="445" t="s">
        <v>735</v>
      </c>
      <c r="B97" s="441" t="s">
        <v>736</v>
      </c>
      <c r="C97" s="441" t="s">
        <v>9</v>
      </c>
      <c r="D97" s="442" t="s">
        <v>737</v>
      </c>
      <c r="E97" s="441" t="s">
        <v>10</v>
      </c>
      <c r="F97" s="443">
        <v>2835.81</v>
      </c>
      <c r="G97" s="444">
        <v>76.760000000000005</v>
      </c>
      <c r="H97" s="444">
        <v>217676.77</v>
      </c>
      <c r="I97" s="446">
        <v>3.4530349378716067E-2</v>
      </c>
    </row>
    <row r="98" spans="1:9" s="160" customFormat="1">
      <c r="A98" s="445" t="s">
        <v>738</v>
      </c>
      <c r="B98" s="441" t="s">
        <v>739</v>
      </c>
      <c r="C98" s="441" t="s">
        <v>11</v>
      </c>
      <c r="D98" s="442" t="s">
        <v>740</v>
      </c>
      <c r="E98" s="441" t="s">
        <v>210</v>
      </c>
      <c r="F98" s="443">
        <v>40.1</v>
      </c>
      <c r="G98" s="444">
        <v>71.75</v>
      </c>
      <c r="H98" s="444">
        <v>2877.17</v>
      </c>
      <c r="I98" s="446">
        <v>4.564092223619475E-4</v>
      </c>
    </row>
    <row r="99" spans="1:9" s="160" customFormat="1" ht="38.25">
      <c r="A99" s="445" t="s">
        <v>741</v>
      </c>
      <c r="B99" s="441" t="s">
        <v>742</v>
      </c>
      <c r="C99" s="441" t="s">
        <v>9</v>
      </c>
      <c r="D99" s="442" t="s">
        <v>743</v>
      </c>
      <c r="E99" s="441" t="s">
        <v>15</v>
      </c>
      <c r="F99" s="443">
        <v>11.41</v>
      </c>
      <c r="G99" s="444">
        <v>568.47</v>
      </c>
      <c r="H99" s="444">
        <v>6486.24</v>
      </c>
      <c r="I99" s="446">
        <v>1.0289206944507827E-3</v>
      </c>
    </row>
    <row r="100" spans="1:9" s="160" customFormat="1" ht="25.5">
      <c r="A100" s="445" t="s">
        <v>744</v>
      </c>
      <c r="B100" s="441" t="s">
        <v>745</v>
      </c>
      <c r="C100" s="441" t="s">
        <v>9</v>
      </c>
      <c r="D100" s="442" t="s">
        <v>746</v>
      </c>
      <c r="E100" s="441" t="s">
        <v>10</v>
      </c>
      <c r="F100" s="443">
        <v>114.14</v>
      </c>
      <c r="G100" s="444">
        <v>51.72</v>
      </c>
      <c r="H100" s="444">
        <v>5903.32</v>
      </c>
      <c r="I100" s="446">
        <v>9.364513360537375E-4</v>
      </c>
    </row>
    <row r="101" spans="1:9" s="160" customFormat="1" ht="63.75">
      <c r="A101" s="445" t="s">
        <v>747</v>
      </c>
      <c r="B101" s="441" t="s">
        <v>748</v>
      </c>
      <c r="C101" s="441" t="s">
        <v>9</v>
      </c>
      <c r="D101" s="442" t="s">
        <v>749</v>
      </c>
      <c r="E101" s="441" t="s">
        <v>210</v>
      </c>
      <c r="F101" s="443">
        <v>163</v>
      </c>
      <c r="G101" s="444">
        <v>69.040000000000006</v>
      </c>
      <c r="H101" s="444">
        <v>11253.52</v>
      </c>
      <c r="I101" s="446">
        <v>1.7851605265016052E-3</v>
      </c>
    </row>
    <row r="102" spans="1:9" s="160" customFormat="1" ht="38.25">
      <c r="A102" s="445" t="s">
        <v>750</v>
      </c>
      <c r="B102" s="441" t="s">
        <v>751</v>
      </c>
      <c r="C102" s="441" t="s">
        <v>9</v>
      </c>
      <c r="D102" s="442" t="s">
        <v>752</v>
      </c>
      <c r="E102" s="441" t="s">
        <v>10</v>
      </c>
      <c r="F102" s="443">
        <v>244.5</v>
      </c>
      <c r="G102" s="444">
        <v>82.78</v>
      </c>
      <c r="H102" s="444">
        <v>20239.71</v>
      </c>
      <c r="I102" s="446">
        <v>3.2106515436805378E-3</v>
      </c>
    </row>
    <row r="103" spans="1:9" s="160" customFormat="1" ht="38.25">
      <c r="A103" s="445" t="s">
        <v>753</v>
      </c>
      <c r="B103" s="441" t="s">
        <v>1561</v>
      </c>
      <c r="C103" s="441" t="s">
        <v>9</v>
      </c>
      <c r="D103" s="442" t="s">
        <v>1562</v>
      </c>
      <c r="E103" s="441" t="s">
        <v>15</v>
      </c>
      <c r="F103" s="443">
        <v>8.8699999999999992</v>
      </c>
      <c r="G103" s="444">
        <v>895.17</v>
      </c>
      <c r="H103" s="444">
        <v>7940.15</v>
      </c>
      <c r="I103" s="446">
        <v>1.2595563303305739E-3</v>
      </c>
    </row>
    <row r="104" spans="1:9" s="160" customFormat="1" ht="25.5">
      <c r="A104" s="445" t="s">
        <v>1563</v>
      </c>
      <c r="B104" s="441" t="s">
        <v>1564</v>
      </c>
      <c r="C104" s="441" t="s">
        <v>546</v>
      </c>
      <c r="D104" s="442" t="s">
        <v>1565</v>
      </c>
      <c r="E104" s="441" t="s">
        <v>208</v>
      </c>
      <c r="F104" s="443">
        <v>22.64</v>
      </c>
      <c r="G104" s="444">
        <v>194.52</v>
      </c>
      <c r="H104" s="444">
        <v>4403.93</v>
      </c>
      <c r="I104" s="446">
        <v>6.9860114857184371E-4</v>
      </c>
    </row>
    <row r="105" spans="1:9" s="160" customFormat="1">
      <c r="A105" s="274" t="s">
        <v>754</v>
      </c>
      <c r="B105" s="256"/>
      <c r="C105" s="256"/>
      <c r="D105" s="255" t="s">
        <v>62</v>
      </c>
      <c r="E105" s="256"/>
      <c r="F105" s="259"/>
      <c r="G105" s="257"/>
      <c r="H105" s="258">
        <v>339471.41</v>
      </c>
      <c r="I105" s="279">
        <v>5.3850791664105301E-2</v>
      </c>
    </row>
    <row r="106" spans="1:9" s="160" customFormat="1" ht="25.5">
      <c r="A106" s="445" t="s">
        <v>755</v>
      </c>
      <c r="B106" s="441" t="s">
        <v>756</v>
      </c>
      <c r="C106" s="441" t="s">
        <v>9</v>
      </c>
      <c r="D106" s="442" t="s">
        <v>757</v>
      </c>
      <c r="E106" s="441" t="s">
        <v>10</v>
      </c>
      <c r="F106" s="443">
        <v>3796.76</v>
      </c>
      <c r="G106" s="444">
        <v>3.55</v>
      </c>
      <c r="H106" s="444">
        <v>13478.49</v>
      </c>
      <c r="I106" s="446">
        <v>2.1381104138835333E-3</v>
      </c>
    </row>
    <row r="107" spans="1:9" s="160" customFormat="1" ht="25.5">
      <c r="A107" s="445" t="s">
        <v>758</v>
      </c>
      <c r="B107" s="441" t="s">
        <v>759</v>
      </c>
      <c r="C107" s="441" t="s">
        <v>9</v>
      </c>
      <c r="D107" s="442" t="s">
        <v>760</v>
      </c>
      <c r="E107" s="441" t="s">
        <v>10</v>
      </c>
      <c r="F107" s="443">
        <v>1327.54</v>
      </c>
      <c r="G107" s="444">
        <v>28.33</v>
      </c>
      <c r="H107" s="444">
        <v>37609.199999999997</v>
      </c>
      <c r="I107" s="446">
        <v>5.965996352546063E-3</v>
      </c>
    </row>
    <row r="108" spans="1:9" s="160" customFormat="1">
      <c r="A108" s="445" t="s">
        <v>761</v>
      </c>
      <c r="B108" s="441" t="s">
        <v>762</v>
      </c>
      <c r="C108" s="441" t="s">
        <v>546</v>
      </c>
      <c r="D108" s="442" t="s">
        <v>763</v>
      </c>
      <c r="E108" s="441" t="s">
        <v>208</v>
      </c>
      <c r="F108" s="443">
        <v>1334.85</v>
      </c>
      <c r="G108" s="444">
        <v>33.1</v>
      </c>
      <c r="H108" s="444">
        <v>44183.53</v>
      </c>
      <c r="I108" s="446">
        <v>7.0088908783651222E-3</v>
      </c>
    </row>
    <row r="109" spans="1:9" s="160" customFormat="1" ht="25.5">
      <c r="A109" s="445" t="s">
        <v>764</v>
      </c>
      <c r="B109" s="441" t="s">
        <v>765</v>
      </c>
      <c r="C109" s="441" t="s">
        <v>9</v>
      </c>
      <c r="D109" s="442" t="s">
        <v>766</v>
      </c>
      <c r="E109" s="441" t="s">
        <v>10</v>
      </c>
      <c r="F109" s="443">
        <v>2662.39</v>
      </c>
      <c r="G109" s="444">
        <v>18.690000000000001</v>
      </c>
      <c r="H109" s="444">
        <v>49760.06</v>
      </c>
      <c r="I109" s="446">
        <v>7.8935030913306649E-3</v>
      </c>
    </row>
    <row r="110" spans="1:9" s="160" customFormat="1" ht="38.25">
      <c r="A110" s="445" t="s">
        <v>767</v>
      </c>
      <c r="B110" s="441" t="s">
        <v>768</v>
      </c>
      <c r="C110" s="441" t="s">
        <v>9</v>
      </c>
      <c r="D110" s="442" t="s">
        <v>769</v>
      </c>
      <c r="E110" s="441" t="s">
        <v>10</v>
      </c>
      <c r="F110" s="443">
        <v>2439.1999999999998</v>
      </c>
      <c r="G110" s="444">
        <v>25.69</v>
      </c>
      <c r="H110" s="444">
        <v>62663.040000000001</v>
      </c>
      <c r="I110" s="446">
        <v>9.9403196047628782E-3</v>
      </c>
    </row>
    <row r="111" spans="1:9" s="160" customFormat="1" ht="51">
      <c r="A111" s="445" t="s">
        <v>770</v>
      </c>
      <c r="B111" s="441" t="s">
        <v>771</v>
      </c>
      <c r="C111" s="441" t="s">
        <v>9</v>
      </c>
      <c r="D111" s="442" t="s">
        <v>772</v>
      </c>
      <c r="E111" s="441" t="s">
        <v>10</v>
      </c>
      <c r="F111" s="443">
        <v>2439.1999999999998</v>
      </c>
      <c r="G111" s="444">
        <v>52.36</v>
      </c>
      <c r="H111" s="444">
        <v>127716.51</v>
      </c>
      <c r="I111" s="446">
        <v>2.0259836232089826E-2</v>
      </c>
    </row>
    <row r="112" spans="1:9" s="160" customFormat="1" ht="25.5">
      <c r="A112" s="445" t="s">
        <v>773</v>
      </c>
      <c r="B112" s="441" t="s">
        <v>774</v>
      </c>
      <c r="C112" s="441" t="s">
        <v>9</v>
      </c>
      <c r="D112" s="442" t="s">
        <v>775</v>
      </c>
      <c r="E112" s="441" t="s">
        <v>10</v>
      </c>
      <c r="F112" s="443">
        <v>82.73</v>
      </c>
      <c r="G112" s="444">
        <v>17.350000000000001</v>
      </c>
      <c r="H112" s="444">
        <v>1435.36</v>
      </c>
      <c r="I112" s="446">
        <v>2.2769302523293548E-4</v>
      </c>
    </row>
    <row r="113" spans="1:9" s="160" customFormat="1" ht="25.5">
      <c r="A113" s="445" t="s">
        <v>776</v>
      </c>
      <c r="B113" s="441" t="s">
        <v>777</v>
      </c>
      <c r="C113" s="441" t="s">
        <v>9</v>
      </c>
      <c r="D113" s="442" t="s">
        <v>778</v>
      </c>
      <c r="E113" s="441" t="s">
        <v>10</v>
      </c>
      <c r="F113" s="443">
        <v>114.14</v>
      </c>
      <c r="G113" s="444">
        <v>23</v>
      </c>
      <c r="H113" s="444">
        <v>2625.22</v>
      </c>
      <c r="I113" s="446">
        <v>4.1644206589427522E-4</v>
      </c>
    </row>
    <row r="114" spans="1:9" s="160" customFormat="1">
      <c r="A114" s="274" t="s">
        <v>779</v>
      </c>
      <c r="B114" s="256"/>
      <c r="C114" s="256"/>
      <c r="D114" s="255" t="s">
        <v>780</v>
      </c>
      <c r="E114" s="256"/>
      <c r="F114" s="259"/>
      <c r="G114" s="257"/>
      <c r="H114" s="258">
        <v>189269.59</v>
      </c>
      <c r="I114" s="279">
        <v>3.0024081437198577E-2</v>
      </c>
    </row>
    <row r="115" spans="1:9" s="160" customFormat="1" ht="38.25">
      <c r="A115" s="445" t="s">
        <v>781</v>
      </c>
      <c r="B115" s="441" t="s">
        <v>782</v>
      </c>
      <c r="C115" s="441" t="s">
        <v>9</v>
      </c>
      <c r="D115" s="442" t="s">
        <v>783</v>
      </c>
      <c r="E115" s="441" t="s">
        <v>448</v>
      </c>
      <c r="F115" s="443">
        <v>67</v>
      </c>
      <c r="G115" s="444">
        <v>158.29</v>
      </c>
      <c r="H115" s="444">
        <v>10605.43</v>
      </c>
      <c r="I115" s="446">
        <v>1.6823531661716439E-3</v>
      </c>
    </row>
    <row r="116" spans="1:9" s="160" customFormat="1" ht="25.5">
      <c r="A116" s="445" t="s">
        <v>784</v>
      </c>
      <c r="B116" s="441" t="s">
        <v>785</v>
      </c>
      <c r="C116" s="441" t="s">
        <v>9</v>
      </c>
      <c r="D116" s="442" t="s">
        <v>786</v>
      </c>
      <c r="E116" s="441" t="s">
        <v>448</v>
      </c>
      <c r="F116" s="443">
        <v>3</v>
      </c>
      <c r="G116" s="444">
        <v>190.7</v>
      </c>
      <c r="H116" s="444">
        <v>572.1</v>
      </c>
      <c r="I116" s="446">
        <v>9.0752967712464037E-5</v>
      </c>
    </row>
    <row r="117" spans="1:9" s="160" customFormat="1" ht="25.5">
      <c r="A117" s="445" t="s">
        <v>787</v>
      </c>
      <c r="B117" s="441" t="s">
        <v>788</v>
      </c>
      <c r="C117" s="441" t="s">
        <v>9</v>
      </c>
      <c r="D117" s="442" t="s">
        <v>789</v>
      </c>
      <c r="E117" s="441" t="s">
        <v>448</v>
      </c>
      <c r="F117" s="443">
        <v>15</v>
      </c>
      <c r="G117" s="444">
        <v>51.47</v>
      </c>
      <c r="H117" s="444">
        <v>772.05</v>
      </c>
      <c r="I117" s="446">
        <v>1.2247129649083704E-4</v>
      </c>
    </row>
    <row r="118" spans="1:9" s="160" customFormat="1" ht="25.5">
      <c r="A118" s="445" t="s">
        <v>790</v>
      </c>
      <c r="B118" s="441" t="s">
        <v>791</v>
      </c>
      <c r="C118" s="441" t="s">
        <v>9</v>
      </c>
      <c r="D118" s="442" t="s">
        <v>1566</v>
      </c>
      <c r="E118" s="441" t="s">
        <v>210</v>
      </c>
      <c r="F118" s="443">
        <v>83.3</v>
      </c>
      <c r="G118" s="444">
        <v>15.91</v>
      </c>
      <c r="H118" s="444">
        <v>1325.3</v>
      </c>
      <c r="I118" s="446">
        <v>2.1023406416593006E-4</v>
      </c>
    </row>
    <row r="119" spans="1:9" s="160" customFormat="1" ht="25.5">
      <c r="A119" s="445" t="s">
        <v>792</v>
      </c>
      <c r="B119" s="441" t="s">
        <v>793</v>
      </c>
      <c r="C119" s="441" t="s">
        <v>9</v>
      </c>
      <c r="D119" s="442" t="s">
        <v>1567</v>
      </c>
      <c r="E119" s="441" t="s">
        <v>210</v>
      </c>
      <c r="F119" s="443">
        <v>107.9</v>
      </c>
      <c r="G119" s="444">
        <v>7.52</v>
      </c>
      <c r="H119" s="444">
        <v>811.4</v>
      </c>
      <c r="I119" s="446">
        <v>1.2871343821341255E-4</v>
      </c>
    </row>
    <row r="120" spans="1:9" s="160" customFormat="1" ht="25.5">
      <c r="A120" s="445" t="s">
        <v>794</v>
      </c>
      <c r="B120" s="441" t="s">
        <v>795</v>
      </c>
      <c r="C120" s="441" t="s">
        <v>9</v>
      </c>
      <c r="D120" s="442" t="s">
        <v>1568</v>
      </c>
      <c r="E120" s="441" t="s">
        <v>210</v>
      </c>
      <c r="F120" s="443">
        <v>75.900000000000006</v>
      </c>
      <c r="G120" s="444">
        <v>26.31</v>
      </c>
      <c r="H120" s="444">
        <v>1996.92</v>
      </c>
      <c r="I120" s="446">
        <v>3.1677401902529921E-4</v>
      </c>
    </row>
    <row r="121" spans="1:9" s="160" customFormat="1" ht="51">
      <c r="A121" s="445" t="s">
        <v>796</v>
      </c>
      <c r="B121" s="441" t="s">
        <v>1569</v>
      </c>
      <c r="C121" s="441" t="s">
        <v>546</v>
      </c>
      <c r="D121" s="442" t="s">
        <v>398</v>
      </c>
      <c r="E121" s="441" t="s">
        <v>441</v>
      </c>
      <c r="F121" s="443">
        <v>1</v>
      </c>
      <c r="G121" s="444">
        <v>171746.14</v>
      </c>
      <c r="H121" s="444">
        <v>171746.14</v>
      </c>
      <c r="I121" s="446">
        <v>2.7244313753120659E-2</v>
      </c>
    </row>
    <row r="122" spans="1:9" s="160" customFormat="1" ht="25.5">
      <c r="A122" s="445" t="s">
        <v>797</v>
      </c>
      <c r="B122" s="441" t="s">
        <v>798</v>
      </c>
      <c r="C122" s="441" t="s">
        <v>9</v>
      </c>
      <c r="D122" s="442" t="s">
        <v>799</v>
      </c>
      <c r="E122" s="441" t="s">
        <v>448</v>
      </c>
      <c r="F122" s="443">
        <v>1</v>
      </c>
      <c r="G122" s="444">
        <v>1250.21</v>
      </c>
      <c r="H122" s="444">
        <v>1250.21</v>
      </c>
      <c r="I122" s="446">
        <v>1.9832243971997844E-4</v>
      </c>
    </row>
    <row r="123" spans="1:9" s="160" customFormat="1" ht="25.5">
      <c r="A123" s="445" t="s">
        <v>800</v>
      </c>
      <c r="B123" s="441" t="s">
        <v>801</v>
      </c>
      <c r="C123" s="441" t="s">
        <v>9</v>
      </c>
      <c r="D123" s="442" t="s">
        <v>802</v>
      </c>
      <c r="E123" s="441" t="s">
        <v>448</v>
      </c>
      <c r="F123" s="443">
        <v>2</v>
      </c>
      <c r="G123" s="444">
        <v>95.02</v>
      </c>
      <c r="H123" s="444">
        <v>190.04</v>
      </c>
      <c r="I123" s="446">
        <v>3.0146292578354599E-5</v>
      </c>
    </row>
    <row r="124" spans="1:9" s="160" customFormat="1">
      <c r="A124" s="274" t="s">
        <v>803</v>
      </c>
      <c r="B124" s="256"/>
      <c r="C124" s="256"/>
      <c r="D124" s="255" t="s">
        <v>149</v>
      </c>
      <c r="E124" s="256"/>
      <c r="F124" s="259"/>
      <c r="G124" s="257"/>
      <c r="H124" s="258">
        <v>50566.21</v>
      </c>
      <c r="I124" s="279">
        <v>8.0213837152100613E-3</v>
      </c>
    </row>
    <row r="125" spans="1:9" s="160" customFormat="1">
      <c r="A125" s="445" t="s">
        <v>804</v>
      </c>
      <c r="B125" s="441" t="s">
        <v>805</v>
      </c>
      <c r="C125" s="441" t="s">
        <v>11</v>
      </c>
      <c r="D125" s="442" t="s">
        <v>806</v>
      </c>
      <c r="E125" s="441" t="s">
        <v>807</v>
      </c>
      <c r="F125" s="443">
        <v>79</v>
      </c>
      <c r="G125" s="444">
        <v>244.72</v>
      </c>
      <c r="H125" s="444">
        <v>19332.88</v>
      </c>
      <c r="I125" s="446">
        <v>3.0667999203442438E-3</v>
      </c>
    </row>
    <row r="126" spans="1:9" s="160" customFormat="1" ht="25.5">
      <c r="A126" s="445" t="s">
        <v>808</v>
      </c>
      <c r="B126" s="441" t="s">
        <v>809</v>
      </c>
      <c r="C126" s="441" t="s">
        <v>9</v>
      </c>
      <c r="D126" s="442" t="s">
        <v>1570</v>
      </c>
      <c r="E126" s="441" t="s">
        <v>448</v>
      </c>
      <c r="F126" s="443">
        <v>18</v>
      </c>
      <c r="G126" s="444">
        <v>48.02</v>
      </c>
      <c r="H126" s="444">
        <v>864.36</v>
      </c>
      <c r="I126" s="446">
        <v>1.3711455195236045E-4</v>
      </c>
    </row>
    <row r="127" spans="1:9" s="160" customFormat="1" ht="38.25">
      <c r="A127" s="445" t="s">
        <v>810</v>
      </c>
      <c r="B127" s="441" t="s">
        <v>811</v>
      </c>
      <c r="C127" s="441" t="s">
        <v>9</v>
      </c>
      <c r="D127" s="442" t="s">
        <v>1571</v>
      </c>
      <c r="E127" s="441" t="s">
        <v>210</v>
      </c>
      <c r="F127" s="443">
        <v>203.3</v>
      </c>
      <c r="G127" s="444">
        <v>51.63</v>
      </c>
      <c r="H127" s="444">
        <v>10496.37</v>
      </c>
      <c r="I127" s="446">
        <v>1.6650528364063558E-3</v>
      </c>
    </row>
    <row r="128" spans="1:9" s="160" customFormat="1" ht="38.25">
      <c r="A128" s="445" t="s">
        <v>812</v>
      </c>
      <c r="B128" s="441" t="s">
        <v>1572</v>
      </c>
      <c r="C128" s="441" t="s">
        <v>9</v>
      </c>
      <c r="D128" s="442" t="s">
        <v>1573</v>
      </c>
      <c r="E128" s="441" t="s">
        <v>210</v>
      </c>
      <c r="F128" s="443">
        <v>225.48</v>
      </c>
      <c r="G128" s="444">
        <v>22.39</v>
      </c>
      <c r="H128" s="444">
        <v>5048.49</v>
      </c>
      <c r="I128" s="446">
        <v>8.0084854040674285E-4</v>
      </c>
    </row>
    <row r="129" spans="1:9" s="160" customFormat="1" ht="38.25">
      <c r="A129" s="445" t="s">
        <v>813</v>
      </c>
      <c r="B129" s="441" t="s">
        <v>814</v>
      </c>
      <c r="C129" s="441" t="s">
        <v>9</v>
      </c>
      <c r="D129" s="442" t="s">
        <v>1574</v>
      </c>
      <c r="E129" s="441" t="s">
        <v>210</v>
      </c>
      <c r="F129" s="443">
        <v>165.9</v>
      </c>
      <c r="G129" s="444">
        <v>31.42</v>
      </c>
      <c r="H129" s="444">
        <v>5212.57</v>
      </c>
      <c r="I129" s="446">
        <v>8.2687676439251645E-4</v>
      </c>
    </row>
    <row r="130" spans="1:9" s="160" customFormat="1" ht="25.5">
      <c r="A130" s="445" t="s">
        <v>815</v>
      </c>
      <c r="B130" s="441" t="s">
        <v>816</v>
      </c>
      <c r="C130" s="441" t="s">
        <v>9</v>
      </c>
      <c r="D130" s="442" t="s">
        <v>817</v>
      </c>
      <c r="E130" s="441" t="s">
        <v>448</v>
      </c>
      <c r="F130" s="443">
        <v>1</v>
      </c>
      <c r="G130" s="444">
        <v>443.84</v>
      </c>
      <c r="H130" s="444">
        <v>443.84</v>
      </c>
      <c r="I130" s="446">
        <v>7.0406916954203881E-5</v>
      </c>
    </row>
    <row r="131" spans="1:9" s="160" customFormat="1" ht="38.25">
      <c r="A131" s="445" t="s">
        <v>818</v>
      </c>
      <c r="B131" s="441" t="s">
        <v>819</v>
      </c>
      <c r="C131" s="441" t="s">
        <v>9</v>
      </c>
      <c r="D131" s="442" t="s">
        <v>820</v>
      </c>
      <c r="E131" s="441" t="s">
        <v>448</v>
      </c>
      <c r="F131" s="443">
        <v>15</v>
      </c>
      <c r="G131" s="444">
        <v>611.17999999999995</v>
      </c>
      <c r="H131" s="444">
        <v>9167.7000000000007</v>
      </c>
      <c r="I131" s="446">
        <v>1.4542841847536385E-3</v>
      </c>
    </row>
    <row r="132" spans="1:9" s="160" customFormat="1">
      <c r="A132" s="274" t="s">
        <v>821</v>
      </c>
      <c r="B132" s="256"/>
      <c r="C132" s="256"/>
      <c r="D132" s="255" t="s">
        <v>218</v>
      </c>
      <c r="E132" s="256"/>
      <c r="F132" s="259"/>
      <c r="G132" s="257"/>
      <c r="H132" s="258">
        <v>49304.480000000003</v>
      </c>
      <c r="I132" s="279">
        <v>7.8212338428942998E-3</v>
      </c>
    </row>
    <row r="133" spans="1:9" s="160" customFormat="1" ht="25.5">
      <c r="A133" s="445" t="s">
        <v>822</v>
      </c>
      <c r="B133" s="441" t="s">
        <v>571</v>
      </c>
      <c r="C133" s="441" t="s">
        <v>9</v>
      </c>
      <c r="D133" s="442" t="s">
        <v>572</v>
      </c>
      <c r="E133" s="441" t="s">
        <v>15</v>
      </c>
      <c r="F133" s="443">
        <v>34.92</v>
      </c>
      <c r="G133" s="444">
        <v>89.34</v>
      </c>
      <c r="H133" s="444">
        <v>3119.75</v>
      </c>
      <c r="I133" s="446">
        <v>4.9489000353252876E-4</v>
      </c>
    </row>
    <row r="134" spans="1:9" s="160" customFormat="1" ht="38.25">
      <c r="A134" s="445" t="s">
        <v>823</v>
      </c>
      <c r="B134" s="441" t="s">
        <v>824</v>
      </c>
      <c r="C134" s="441" t="s">
        <v>9</v>
      </c>
      <c r="D134" s="442" t="s">
        <v>1575</v>
      </c>
      <c r="E134" s="441" t="s">
        <v>210</v>
      </c>
      <c r="F134" s="443">
        <v>146</v>
      </c>
      <c r="G134" s="444">
        <v>117.43</v>
      </c>
      <c r="H134" s="444">
        <v>17144.78</v>
      </c>
      <c r="I134" s="446">
        <v>2.7196987690566322E-3</v>
      </c>
    </row>
    <row r="135" spans="1:9" s="160" customFormat="1" ht="25.5">
      <c r="A135" s="445" t="s">
        <v>825</v>
      </c>
      <c r="B135" s="441" t="s">
        <v>826</v>
      </c>
      <c r="C135" s="441" t="s">
        <v>9</v>
      </c>
      <c r="D135" s="442" t="s">
        <v>1576</v>
      </c>
      <c r="E135" s="441" t="s">
        <v>210</v>
      </c>
      <c r="F135" s="443">
        <v>162</v>
      </c>
      <c r="G135" s="444">
        <v>82.6</v>
      </c>
      <c r="H135" s="444">
        <v>13381.2</v>
      </c>
      <c r="I135" s="446">
        <v>2.1226771745394579E-3</v>
      </c>
    </row>
    <row r="136" spans="1:9" s="160" customFormat="1" ht="38.25">
      <c r="A136" s="445" t="s">
        <v>827</v>
      </c>
      <c r="B136" s="441" t="s">
        <v>828</v>
      </c>
      <c r="C136" s="441" t="s">
        <v>9</v>
      </c>
      <c r="D136" s="442" t="s">
        <v>1577</v>
      </c>
      <c r="E136" s="441" t="s">
        <v>448</v>
      </c>
      <c r="F136" s="443">
        <v>60</v>
      </c>
      <c r="G136" s="444">
        <v>55.66</v>
      </c>
      <c r="H136" s="444">
        <v>3339.6</v>
      </c>
      <c r="I136" s="446">
        <v>5.2976509521507592E-4</v>
      </c>
    </row>
    <row r="137" spans="1:9" s="160" customFormat="1">
      <c r="A137" s="445" t="s">
        <v>829</v>
      </c>
      <c r="B137" s="441" t="s">
        <v>830</v>
      </c>
      <c r="C137" s="441" t="s">
        <v>9</v>
      </c>
      <c r="D137" s="442" t="s">
        <v>831</v>
      </c>
      <c r="E137" s="441" t="s">
        <v>15</v>
      </c>
      <c r="F137" s="443">
        <v>32.340000000000003</v>
      </c>
      <c r="G137" s="444">
        <v>54.16</v>
      </c>
      <c r="H137" s="444">
        <v>1751.53</v>
      </c>
      <c r="I137" s="446">
        <v>2.778474838968924E-4</v>
      </c>
    </row>
    <row r="138" spans="1:9" s="160" customFormat="1" ht="38.25">
      <c r="A138" s="445" t="s">
        <v>832</v>
      </c>
      <c r="B138" s="441" t="s">
        <v>833</v>
      </c>
      <c r="C138" s="441" t="s">
        <v>9</v>
      </c>
      <c r="D138" s="442" t="s">
        <v>834</v>
      </c>
      <c r="E138" s="441" t="s">
        <v>448</v>
      </c>
      <c r="F138" s="443">
        <v>18</v>
      </c>
      <c r="G138" s="444">
        <v>587.09</v>
      </c>
      <c r="H138" s="444">
        <v>10567.62</v>
      </c>
      <c r="I138" s="446">
        <v>1.676355316653713E-3</v>
      </c>
    </row>
    <row r="139" spans="1:9" s="160" customFormat="1">
      <c r="A139" s="274" t="s">
        <v>835</v>
      </c>
      <c r="B139" s="256"/>
      <c r="C139" s="256"/>
      <c r="D139" s="255" t="s">
        <v>84</v>
      </c>
      <c r="E139" s="256"/>
      <c r="F139" s="259"/>
      <c r="G139" s="257"/>
      <c r="H139" s="258">
        <v>22835.96</v>
      </c>
      <c r="I139" s="279">
        <v>3.6224980607640627E-3</v>
      </c>
    </row>
    <row r="140" spans="1:9" s="160" customFormat="1" ht="25.5">
      <c r="A140" s="445" t="s">
        <v>836</v>
      </c>
      <c r="B140" s="441" t="s">
        <v>837</v>
      </c>
      <c r="C140" s="441" t="s">
        <v>11</v>
      </c>
      <c r="D140" s="442" t="s">
        <v>838</v>
      </c>
      <c r="E140" s="441" t="s">
        <v>448</v>
      </c>
      <c r="F140" s="443">
        <v>1</v>
      </c>
      <c r="G140" s="444">
        <v>1298.93</v>
      </c>
      <c r="H140" s="444">
        <v>1298.93</v>
      </c>
      <c r="I140" s="446">
        <v>2.0605095673964502E-4</v>
      </c>
    </row>
    <row r="141" spans="1:9" s="160" customFormat="1" ht="38.25">
      <c r="A141" s="445" t="s">
        <v>839</v>
      </c>
      <c r="B141" s="441" t="s">
        <v>840</v>
      </c>
      <c r="C141" s="441" t="s">
        <v>9</v>
      </c>
      <c r="D141" s="442" t="s">
        <v>841</v>
      </c>
      <c r="E141" s="441" t="s">
        <v>448</v>
      </c>
      <c r="F141" s="443">
        <v>3</v>
      </c>
      <c r="G141" s="444">
        <v>575.35</v>
      </c>
      <c r="H141" s="444">
        <v>1726.05</v>
      </c>
      <c r="I141" s="446">
        <v>2.7380555832913576E-4</v>
      </c>
    </row>
    <row r="142" spans="1:9" s="160" customFormat="1" ht="25.5">
      <c r="A142" s="445" t="s">
        <v>842</v>
      </c>
      <c r="B142" s="441" t="s">
        <v>843</v>
      </c>
      <c r="C142" s="441" t="s">
        <v>9</v>
      </c>
      <c r="D142" s="442" t="s">
        <v>844</v>
      </c>
      <c r="E142" s="441" t="s">
        <v>448</v>
      </c>
      <c r="F142" s="443">
        <v>8</v>
      </c>
      <c r="G142" s="444">
        <v>631.14</v>
      </c>
      <c r="H142" s="444">
        <v>5049.12</v>
      </c>
      <c r="I142" s="446">
        <v>8.009484781268247E-4</v>
      </c>
    </row>
    <row r="143" spans="1:9" s="160" customFormat="1" ht="25.5">
      <c r="A143" s="445" t="s">
        <v>845</v>
      </c>
      <c r="B143" s="441" t="s">
        <v>846</v>
      </c>
      <c r="C143" s="441" t="s">
        <v>9</v>
      </c>
      <c r="D143" s="442" t="s">
        <v>847</v>
      </c>
      <c r="E143" s="441" t="s">
        <v>448</v>
      </c>
      <c r="F143" s="443">
        <v>16</v>
      </c>
      <c r="G143" s="444">
        <v>176.23</v>
      </c>
      <c r="H143" s="444">
        <v>2819.68</v>
      </c>
      <c r="I143" s="446">
        <v>4.4728950882622027E-4</v>
      </c>
    </row>
    <row r="144" spans="1:9" s="160" customFormat="1" ht="51">
      <c r="A144" s="445" t="s">
        <v>848</v>
      </c>
      <c r="B144" s="441" t="s">
        <v>849</v>
      </c>
      <c r="C144" s="441" t="s">
        <v>9</v>
      </c>
      <c r="D144" s="442" t="s">
        <v>850</v>
      </c>
      <c r="E144" s="441" t="s">
        <v>448</v>
      </c>
      <c r="F144" s="443">
        <v>4</v>
      </c>
      <c r="G144" s="444">
        <v>525.89</v>
      </c>
      <c r="H144" s="444">
        <v>2103.56</v>
      </c>
      <c r="I144" s="446">
        <v>3.3369046104043151E-4</v>
      </c>
    </row>
    <row r="145" spans="1:9" s="160" customFormat="1" ht="25.5">
      <c r="A145" s="445" t="s">
        <v>851</v>
      </c>
      <c r="B145" s="441" t="s">
        <v>852</v>
      </c>
      <c r="C145" s="441" t="s">
        <v>9</v>
      </c>
      <c r="D145" s="442" t="s">
        <v>853</v>
      </c>
      <c r="E145" s="441" t="s">
        <v>448</v>
      </c>
      <c r="F145" s="443">
        <v>6</v>
      </c>
      <c r="G145" s="444">
        <v>170.02</v>
      </c>
      <c r="H145" s="444">
        <v>1020.12</v>
      </c>
      <c r="I145" s="446">
        <v>1.618229635078462E-4</v>
      </c>
    </row>
    <row r="146" spans="1:9" s="160" customFormat="1" ht="25.5">
      <c r="A146" s="445" t="s">
        <v>854</v>
      </c>
      <c r="B146" s="441" t="s">
        <v>855</v>
      </c>
      <c r="C146" s="441" t="s">
        <v>9</v>
      </c>
      <c r="D146" s="442" t="s">
        <v>856</v>
      </c>
      <c r="E146" s="441" t="s">
        <v>448</v>
      </c>
      <c r="F146" s="443">
        <v>6</v>
      </c>
      <c r="G146" s="444">
        <v>162.82</v>
      </c>
      <c r="H146" s="444">
        <v>976.92</v>
      </c>
      <c r="I146" s="446">
        <v>1.5497009127365911E-4</v>
      </c>
    </row>
    <row r="147" spans="1:9" s="160" customFormat="1" ht="25.5">
      <c r="A147" s="445" t="s">
        <v>857</v>
      </c>
      <c r="B147" s="441" t="s">
        <v>858</v>
      </c>
      <c r="C147" s="441" t="s">
        <v>9</v>
      </c>
      <c r="D147" s="442" t="s">
        <v>859</v>
      </c>
      <c r="E147" s="441" t="s">
        <v>448</v>
      </c>
      <c r="F147" s="443">
        <v>8</v>
      </c>
      <c r="G147" s="444">
        <v>79.56</v>
      </c>
      <c r="H147" s="444">
        <v>636.48</v>
      </c>
      <c r="I147" s="446">
        <v>1.0096565091702344E-4</v>
      </c>
    </row>
    <row r="148" spans="1:9" s="160" customFormat="1" ht="25.5">
      <c r="A148" s="445" t="s">
        <v>860</v>
      </c>
      <c r="B148" s="441" t="s">
        <v>861</v>
      </c>
      <c r="C148" s="441" t="s">
        <v>9</v>
      </c>
      <c r="D148" s="442" t="s">
        <v>862</v>
      </c>
      <c r="E148" s="441" t="s">
        <v>448</v>
      </c>
      <c r="F148" s="443">
        <v>1</v>
      </c>
      <c r="G148" s="444">
        <v>454.71</v>
      </c>
      <c r="H148" s="444">
        <v>454.71</v>
      </c>
      <c r="I148" s="446">
        <v>7.2131239203870867E-5</v>
      </c>
    </row>
    <row r="149" spans="1:9" s="160" customFormat="1" ht="25.5">
      <c r="A149" s="445" t="s">
        <v>863</v>
      </c>
      <c r="B149" s="441" t="s">
        <v>864</v>
      </c>
      <c r="C149" s="441" t="s">
        <v>9</v>
      </c>
      <c r="D149" s="442" t="s">
        <v>865</v>
      </c>
      <c r="E149" s="441" t="s">
        <v>448</v>
      </c>
      <c r="F149" s="443">
        <v>1</v>
      </c>
      <c r="G149" s="444">
        <v>413.35</v>
      </c>
      <c r="H149" s="444">
        <v>413.35</v>
      </c>
      <c r="I149" s="446">
        <v>6.5570248564843578E-5</v>
      </c>
    </row>
    <row r="150" spans="1:9" s="160" customFormat="1">
      <c r="A150" s="445" t="s">
        <v>866</v>
      </c>
      <c r="B150" s="441" t="s">
        <v>867</v>
      </c>
      <c r="C150" s="441" t="s">
        <v>546</v>
      </c>
      <c r="D150" s="442" t="s">
        <v>868</v>
      </c>
      <c r="E150" s="441" t="s">
        <v>441</v>
      </c>
      <c r="F150" s="443">
        <v>8</v>
      </c>
      <c r="G150" s="444">
        <v>96.25</v>
      </c>
      <c r="H150" s="444">
        <v>770</v>
      </c>
      <c r="I150" s="446">
        <v>1.2214610232231656E-4</v>
      </c>
    </row>
    <row r="151" spans="1:9" s="160" customFormat="1" ht="25.5">
      <c r="A151" s="445" t="s">
        <v>869</v>
      </c>
      <c r="B151" s="441" t="s">
        <v>1578</v>
      </c>
      <c r="C151" s="441" t="s">
        <v>9</v>
      </c>
      <c r="D151" s="442" t="s">
        <v>1579</v>
      </c>
      <c r="E151" s="441" t="s">
        <v>448</v>
      </c>
      <c r="F151" s="443">
        <v>4</v>
      </c>
      <c r="G151" s="444">
        <v>77.83</v>
      </c>
      <c r="H151" s="444">
        <v>311.32</v>
      </c>
      <c r="I151" s="446">
        <v>4.9385096850628045E-5</v>
      </c>
    </row>
    <row r="152" spans="1:9" s="160" customFormat="1" ht="25.5">
      <c r="A152" s="445" t="s">
        <v>872</v>
      </c>
      <c r="B152" s="441" t="s">
        <v>870</v>
      </c>
      <c r="C152" s="441" t="s">
        <v>9</v>
      </c>
      <c r="D152" s="442" t="s">
        <v>871</v>
      </c>
      <c r="E152" s="441" t="s">
        <v>448</v>
      </c>
      <c r="F152" s="443">
        <v>2</v>
      </c>
      <c r="G152" s="444">
        <v>835.34</v>
      </c>
      <c r="H152" s="444">
        <v>1670.68</v>
      </c>
      <c r="I152" s="446">
        <v>2.6502214315304916E-4</v>
      </c>
    </row>
    <row r="153" spans="1:9" s="160" customFormat="1" ht="38.25">
      <c r="A153" s="445" t="s">
        <v>874</v>
      </c>
      <c r="B153" s="441" t="s">
        <v>873</v>
      </c>
      <c r="C153" s="441" t="s">
        <v>9</v>
      </c>
      <c r="D153" s="442" t="s">
        <v>447</v>
      </c>
      <c r="E153" s="441" t="s">
        <v>448</v>
      </c>
      <c r="F153" s="443">
        <v>6</v>
      </c>
      <c r="G153" s="444">
        <v>145.33000000000001</v>
      </c>
      <c r="H153" s="444">
        <v>871.98</v>
      </c>
      <c r="I153" s="446">
        <v>1.3832332247144623E-4</v>
      </c>
    </row>
    <row r="154" spans="1:9" s="160" customFormat="1" ht="25.5">
      <c r="A154" s="445" t="s">
        <v>877</v>
      </c>
      <c r="B154" s="441" t="s">
        <v>875</v>
      </c>
      <c r="C154" s="441" t="s">
        <v>9</v>
      </c>
      <c r="D154" s="442" t="s">
        <v>876</v>
      </c>
      <c r="E154" s="441" t="s">
        <v>448</v>
      </c>
      <c r="F154" s="443">
        <v>4</v>
      </c>
      <c r="G154" s="444">
        <v>248</v>
      </c>
      <c r="H154" s="444">
        <v>992</v>
      </c>
      <c r="I154" s="446">
        <v>1.573622513035559E-4</v>
      </c>
    </row>
    <row r="155" spans="1:9" s="160" customFormat="1" ht="25.5">
      <c r="A155" s="445" t="s">
        <v>880</v>
      </c>
      <c r="B155" s="441" t="s">
        <v>878</v>
      </c>
      <c r="C155" s="441" t="s">
        <v>9</v>
      </c>
      <c r="D155" s="442" t="s">
        <v>879</v>
      </c>
      <c r="E155" s="441" t="s">
        <v>448</v>
      </c>
      <c r="F155" s="443">
        <v>2</v>
      </c>
      <c r="G155" s="444">
        <v>62.02</v>
      </c>
      <c r="H155" s="444">
        <v>124.04</v>
      </c>
      <c r="I155" s="446">
        <v>1.9676626665013178E-5</v>
      </c>
    </row>
    <row r="156" spans="1:9" s="160" customFormat="1" ht="25.5">
      <c r="A156" s="445" t="s">
        <v>882</v>
      </c>
      <c r="B156" s="441" t="s">
        <v>1118</v>
      </c>
      <c r="C156" s="441" t="s">
        <v>546</v>
      </c>
      <c r="D156" s="442" t="s">
        <v>881</v>
      </c>
      <c r="E156" s="441" t="s">
        <v>441</v>
      </c>
      <c r="F156" s="443">
        <v>2</v>
      </c>
      <c r="G156" s="444">
        <v>57.33</v>
      </c>
      <c r="H156" s="444">
        <v>114.66</v>
      </c>
      <c r="I156" s="446">
        <v>1.8188665054904959E-5</v>
      </c>
    </row>
    <row r="157" spans="1:9" s="160" customFormat="1" ht="25.5">
      <c r="A157" s="445" t="s">
        <v>885</v>
      </c>
      <c r="B157" s="441" t="s">
        <v>883</v>
      </c>
      <c r="C157" s="441" t="s">
        <v>9</v>
      </c>
      <c r="D157" s="442" t="s">
        <v>884</v>
      </c>
      <c r="E157" s="441" t="s">
        <v>448</v>
      </c>
      <c r="F157" s="443">
        <v>12</v>
      </c>
      <c r="G157" s="444">
        <v>123.53</v>
      </c>
      <c r="H157" s="444">
        <v>1482.36</v>
      </c>
      <c r="I157" s="446">
        <v>2.3514869641364831E-4</v>
      </c>
    </row>
    <row r="158" spans="1:9" s="160" customFormat="1">
      <c r="A158" s="274" t="s">
        <v>886</v>
      </c>
      <c r="B158" s="256"/>
      <c r="C158" s="256"/>
      <c r="D158" s="255" t="s">
        <v>94</v>
      </c>
      <c r="E158" s="256"/>
      <c r="F158" s="259"/>
      <c r="G158" s="257"/>
      <c r="H158" s="258">
        <v>164289.35</v>
      </c>
      <c r="I158" s="279">
        <v>2.6061433448788154E-2</v>
      </c>
    </row>
    <row r="159" spans="1:9" s="160" customFormat="1" ht="38.25">
      <c r="A159" s="445" t="s">
        <v>887</v>
      </c>
      <c r="B159" s="441" t="s">
        <v>888</v>
      </c>
      <c r="C159" s="441" t="s">
        <v>9</v>
      </c>
      <c r="D159" s="442" t="s">
        <v>889</v>
      </c>
      <c r="E159" s="441" t="s">
        <v>448</v>
      </c>
      <c r="F159" s="443">
        <v>1</v>
      </c>
      <c r="G159" s="444">
        <v>2019.2</v>
      </c>
      <c r="H159" s="444">
        <v>2019.2</v>
      </c>
      <c r="I159" s="446">
        <v>3.2030832442756055E-4</v>
      </c>
    </row>
    <row r="160" spans="1:9" s="160" customFormat="1" ht="38.25">
      <c r="A160" s="445" t="s">
        <v>890</v>
      </c>
      <c r="B160" s="441" t="s">
        <v>891</v>
      </c>
      <c r="C160" s="441" t="s">
        <v>9</v>
      </c>
      <c r="D160" s="442" t="s">
        <v>892</v>
      </c>
      <c r="E160" s="441" t="s">
        <v>448</v>
      </c>
      <c r="F160" s="443">
        <v>1</v>
      </c>
      <c r="G160" s="444">
        <v>2555.13</v>
      </c>
      <c r="H160" s="444">
        <v>2555.13</v>
      </c>
      <c r="I160" s="446">
        <v>4.0532359795691003E-4</v>
      </c>
    </row>
    <row r="161" spans="1:9" s="160" customFormat="1" ht="25.5">
      <c r="A161" s="445" t="s">
        <v>893</v>
      </c>
      <c r="B161" s="441" t="s">
        <v>894</v>
      </c>
      <c r="C161" s="441" t="s">
        <v>11</v>
      </c>
      <c r="D161" s="442" t="s">
        <v>895</v>
      </c>
      <c r="E161" s="441" t="s">
        <v>448</v>
      </c>
      <c r="F161" s="443">
        <v>1</v>
      </c>
      <c r="G161" s="444">
        <v>34628.67</v>
      </c>
      <c r="H161" s="444">
        <v>34628.67</v>
      </c>
      <c r="I161" s="446">
        <v>5.4931909988386162E-3</v>
      </c>
    </row>
    <row r="162" spans="1:9" s="160" customFormat="1" ht="25.5">
      <c r="A162" s="445" t="s">
        <v>896</v>
      </c>
      <c r="B162" s="441" t="s">
        <v>1122</v>
      </c>
      <c r="C162" s="441" t="s">
        <v>546</v>
      </c>
      <c r="D162" s="442" t="s">
        <v>897</v>
      </c>
      <c r="E162" s="441" t="s">
        <v>441</v>
      </c>
      <c r="F162" s="443">
        <v>5</v>
      </c>
      <c r="G162" s="444">
        <v>153.38</v>
      </c>
      <c r="H162" s="444">
        <v>766.9</v>
      </c>
      <c r="I162" s="446">
        <v>1.2165434528699297E-4</v>
      </c>
    </row>
    <row r="163" spans="1:9" s="160" customFormat="1" ht="25.5">
      <c r="A163" s="445" t="s">
        <v>898</v>
      </c>
      <c r="B163" s="441" t="s">
        <v>899</v>
      </c>
      <c r="C163" s="441" t="s">
        <v>9</v>
      </c>
      <c r="D163" s="442" t="s">
        <v>900</v>
      </c>
      <c r="E163" s="441" t="s">
        <v>448</v>
      </c>
      <c r="F163" s="443">
        <v>126</v>
      </c>
      <c r="G163" s="444">
        <v>22.68</v>
      </c>
      <c r="H163" s="444">
        <v>2857.68</v>
      </c>
      <c r="I163" s="446">
        <v>4.5331749829147743E-4</v>
      </c>
    </row>
    <row r="164" spans="1:9" s="160" customFormat="1" ht="25.5">
      <c r="A164" s="445" t="s">
        <v>901</v>
      </c>
      <c r="B164" s="441" t="s">
        <v>902</v>
      </c>
      <c r="C164" s="441" t="s">
        <v>9</v>
      </c>
      <c r="D164" s="442" t="s">
        <v>903</v>
      </c>
      <c r="E164" s="441" t="s">
        <v>448</v>
      </c>
      <c r="F164" s="443">
        <v>5</v>
      </c>
      <c r="G164" s="444">
        <v>132.1</v>
      </c>
      <c r="H164" s="444">
        <v>660.5</v>
      </c>
      <c r="I164" s="446">
        <v>1.0477597478427286E-4</v>
      </c>
    </row>
    <row r="165" spans="1:9" s="160" customFormat="1" ht="25.5">
      <c r="A165" s="445" t="s">
        <v>904</v>
      </c>
      <c r="B165" s="441" t="s">
        <v>905</v>
      </c>
      <c r="C165" s="441" t="s">
        <v>9</v>
      </c>
      <c r="D165" s="442" t="s">
        <v>906</v>
      </c>
      <c r="E165" s="441" t="s">
        <v>448</v>
      </c>
      <c r="F165" s="443">
        <v>5</v>
      </c>
      <c r="G165" s="444">
        <v>115.51</v>
      </c>
      <c r="H165" s="444">
        <v>577.54999999999995</v>
      </c>
      <c r="I165" s="446">
        <v>9.1617508306823296E-5</v>
      </c>
    </row>
    <row r="166" spans="1:9" s="160" customFormat="1" ht="38.25">
      <c r="A166" s="445" t="s">
        <v>907</v>
      </c>
      <c r="B166" s="441" t="s">
        <v>908</v>
      </c>
      <c r="C166" s="441" t="s">
        <v>9</v>
      </c>
      <c r="D166" s="442" t="s">
        <v>909</v>
      </c>
      <c r="E166" s="441" t="s">
        <v>210</v>
      </c>
      <c r="F166" s="443">
        <v>400</v>
      </c>
      <c r="G166" s="444">
        <v>11.47</v>
      </c>
      <c r="H166" s="444">
        <v>4588</v>
      </c>
      <c r="I166" s="446">
        <v>7.2780041227894603E-4</v>
      </c>
    </row>
    <row r="167" spans="1:9" s="160" customFormat="1" ht="38.25">
      <c r="A167" s="445" t="s">
        <v>910</v>
      </c>
      <c r="B167" s="441" t="s">
        <v>911</v>
      </c>
      <c r="C167" s="441" t="s">
        <v>9</v>
      </c>
      <c r="D167" s="442" t="s">
        <v>912</v>
      </c>
      <c r="E167" s="441" t="s">
        <v>210</v>
      </c>
      <c r="F167" s="443">
        <v>500</v>
      </c>
      <c r="G167" s="444">
        <v>10.83</v>
      </c>
      <c r="H167" s="444">
        <v>5415</v>
      </c>
      <c r="I167" s="446">
        <v>8.5898849879914834E-4</v>
      </c>
    </row>
    <row r="168" spans="1:9" s="160" customFormat="1" ht="38.25">
      <c r="A168" s="445" t="s">
        <v>913</v>
      </c>
      <c r="B168" s="441" t="s">
        <v>914</v>
      </c>
      <c r="C168" s="441" t="s">
        <v>9</v>
      </c>
      <c r="D168" s="442" t="s">
        <v>915</v>
      </c>
      <c r="E168" s="441" t="s">
        <v>210</v>
      </c>
      <c r="F168" s="443">
        <v>400</v>
      </c>
      <c r="G168" s="444">
        <v>14.44</v>
      </c>
      <c r="H168" s="444">
        <v>5776</v>
      </c>
      <c r="I168" s="446">
        <v>9.1625439871909162E-4</v>
      </c>
    </row>
    <row r="169" spans="1:9" s="160" customFormat="1" ht="38.25">
      <c r="A169" s="445" t="s">
        <v>916</v>
      </c>
      <c r="B169" s="441" t="s">
        <v>917</v>
      </c>
      <c r="C169" s="441" t="s">
        <v>9</v>
      </c>
      <c r="D169" s="442" t="s">
        <v>918</v>
      </c>
      <c r="E169" s="441" t="s">
        <v>210</v>
      </c>
      <c r="F169" s="443">
        <v>300</v>
      </c>
      <c r="G169" s="444">
        <v>20.16</v>
      </c>
      <c r="H169" s="444">
        <v>6048</v>
      </c>
      <c r="I169" s="446">
        <v>9.5940211278619557E-4</v>
      </c>
    </row>
    <row r="170" spans="1:9" s="160" customFormat="1" ht="38.25">
      <c r="A170" s="445" t="s">
        <v>919</v>
      </c>
      <c r="B170" s="441" t="s">
        <v>920</v>
      </c>
      <c r="C170" s="441" t="s">
        <v>9</v>
      </c>
      <c r="D170" s="442" t="s">
        <v>921</v>
      </c>
      <c r="E170" s="441" t="s">
        <v>210</v>
      </c>
      <c r="F170" s="443">
        <v>250</v>
      </c>
      <c r="G170" s="444">
        <v>20.52</v>
      </c>
      <c r="H170" s="444">
        <v>5130</v>
      </c>
      <c r="I170" s="446">
        <v>8.1377857780971948E-4</v>
      </c>
    </row>
    <row r="171" spans="1:9" s="160" customFormat="1" ht="38.25">
      <c r="A171" s="445" t="s">
        <v>922</v>
      </c>
      <c r="B171" s="441" t="s">
        <v>923</v>
      </c>
      <c r="C171" s="441" t="s">
        <v>9</v>
      </c>
      <c r="D171" s="442" t="s">
        <v>924</v>
      </c>
      <c r="E171" s="441" t="s">
        <v>210</v>
      </c>
      <c r="F171" s="443">
        <v>180</v>
      </c>
      <c r="G171" s="444">
        <v>34.35</v>
      </c>
      <c r="H171" s="444">
        <v>6183</v>
      </c>
      <c r="I171" s="446">
        <v>9.8081733851803038E-4</v>
      </c>
    </row>
    <row r="172" spans="1:9" s="160" customFormat="1">
      <c r="A172" s="445" t="s">
        <v>925</v>
      </c>
      <c r="B172" s="441" t="s">
        <v>926</v>
      </c>
      <c r="C172" s="441" t="s">
        <v>9</v>
      </c>
      <c r="D172" s="442" t="s">
        <v>927</v>
      </c>
      <c r="E172" s="441" t="s">
        <v>448</v>
      </c>
      <c r="F172" s="443">
        <v>10</v>
      </c>
      <c r="G172" s="444">
        <v>254.41</v>
      </c>
      <c r="H172" s="444">
        <v>2544.1</v>
      </c>
      <c r="I172" s="446">
        <v>4.0357389469896829E-4</v>
      </c>
    </row>
    <row r="173" spans="1:9" s="160" customFormat="1" ht="38.25">
      <c r="A173" s="445" t="s">
        <v>928</v>
      </c>
      <c r="B173" s="441" t="s">
        <v>929</v>
      </c>
      <c r="C173" s="441" t="s">
        <v>9</v>
      </c>
      <c r="D173" s="442" t="s">
        <v>930</v>
      </c>
      <c r="E173" s="441" t="s">
        <v>210</v>
      </c>
      <c r="F173" s="443">
        <v>2200</v>
      </c>
      <c r="G173" s="444">
        <v>4.96</v>
      </c>
      <c r="H173" s="444">
        <v>10912</v>
      </c>
      <c r="I173" s="446">
        <v>1.7309847643391149E-3</v>
      </c>
    </row>
    <row r="174" spans="1:9" s="160" customFormat="1" ht="38.25">
      <c r="A174" s="445" t="s">
        <v>931</v>
      </c>
      <c r="B174" s="441" t="s">
        <v>932</v>
      </c>
      <c r="C174" s="441" t="s">
        <v>9</v>
      </c>
      <c r="D174" s="442" t="s">
        <v>933</v>
      </c>
      <c r="E174" s="441" t="s">
        <v>210</v>
      </c>
      <c r="F174" s="443">
        <v>1450</v>
      </c>
      <c r="G174" s="444">
        <v>8.1300000000000008</v>
      </c>
      <c r="H174" s="444">
        <v>11788.5</v>
      </c>
      <c r="I174" s="446">
        <v>1.8700251002943232E-3</v>
      </c>
    </row>
    <row r="175" spans="1:9" s="160" customFormat="1" ht="38.25">
      <c r="A175" s="445" t="s">
        <v>934</v>
      </c>
      <c r="B175" s="441" t="s">
        <v>935</v>
      </c>
      <c r="C175" s="441" t="s">
        <v>9</v>
      </c>
      <c r="D175" s="442" t="s">
        <v>936</v>
      </c>
      <c r="E175" s="441" t="s">
        <v>210</v>
      </c>
      <c r="F175" s="443">
        <v>700</v>
      </c>
      <c r="G175" s="444">
        <v>18.36</v>
      </c>
      <c r="H175" s="444">
        <v>12852</v>
      </c>
      <c r="I175" s="446">
        <v>2.0387294896706655E-3</v>
      </c>
    </row>
    <row r="176" spans="1:9" s="160" customFormat="1" ht="38.25">
      <c r="A176" s="445" t="s">
        <v>937</v>
      </c>
      <c r="B176" s="441" t="s">
        <v>938</v>
      </c>
      <c r="C176" s="441" t="s">
        <v>9</v>
      </c>
      <c r="D176" s="442" t="s">
        <v>939</v>
      </c>
      <c r="E176" s="441" t="s">
        <v>210</v>
      </c>
      <c r="F176" s="443">
        <v>450</v>
      </c>
      <c r="G176" s="444">
        <v>29.97</v>
      </c>
      <c r="H176" s="444">
        <v>13486.5</v>
      </c>
      <c r="I176" s="446">
        <v>2.1393810506102891E-3</v>
      </c>
    </row>
    <row r="177" spans="1:9" s="160" customFormat="1" ht="25.5">
      <c r="A177" s="445" t="s">
        <v>940</v>
      </c>
      <c r="B177" s="441" t="s">
        <v>941</v>
      </c>
      <c r="C177" s="441" t="s">
        <v>9</v>
      </c>
      <c r="D177" s="442" t="s">
        <v>942</v>
      </c>
      <c r="E177" s="441" t="s">
        <v>448</v>
      </c>
      <c r="F177" s="443">
        <v>70</v>
      </c>
      <c r="G177" s="444">
        <v>38.72</v>
      </c>
      <c r="H177" s="444">
        <v>2710.4</v>
      </c>
      <c r="I177" s="446">
        <v>4.2995428017455432E-4</v>
      </c>
    </row>
    <row r="178" spans="1:9" s="160" customFormat="1" ht="25.5">
      <c r="A178" s="445" t="s">
        <v>943</v>
      </c>
      <c r="B178" s="441" t="s">
        <v>944</v>
      </c>
      <c r="C178" s="441" t="s">
        <v>9</v>
      </c>
      <c r="D178" s="442" t="s">
        <v>945</v>
      </c>
      <c r="E178" s="441" t="s">
        <v>448</v>
      </c>
      <c r="F178" s="443">
        <v>128</v>
      </c>
      <c r="G178" s="444">
        <v>38.85</v>
      </c>
      <c r="H178" s="444">
        <v>4972.8</v>
      </c>
      <c r="I178" s="446">
        <v>7.8884173717976079E-4</v>
      </c>
    </row>
    <row r="179" spans="1:9" s="160" customFormat="1" ht="25.5">
      <c r="A179" s="445" t="s">
        <v>946</v>
      </c>
      <c r="B179" s="441" t="s">
        <v>947</v>
      </c>
      <c r="C179" s="441" t="s">
        <v>9</v>
      </c>
      <c r="D179" s="442" t="s">
        <v>948</v>
      </c>
      <c r="E179" s="441" t="s">
        <v>448</v>
      </c>
      <c r="F179" s="443">
        <v>10</v>
      </c>
      <c r="G179" s="444">
        <v>22.58</v>
      </c>
      <c r="H179" s="444">
        <v>225.8</v>
      </c>
      <c r="I179" s="446">
        <v>3.5818947927765039E-5</v>
      </c>
    </row>
    <row r="180" spans="1:9" s="160" customFormat="1" ht="38.25">
      <c r="A180" s="445" t="s">
        <v>949</v>
      </c>
      <c r="B180" s="441" t="s">
        <v>950</v>
      </c>
      <c r="C180" s="441" t="s">
        <v>9</v>
      </c>
      <c r="D180" s="442" t="s">
        <v>951</v>
      </c>
      <c r="E180" s="441" t="s">
        <v>448</v>
      </c>
      <c r="F180" s="443">
        <v>14</v>
      </c>
      <c r="G180" s="444">
        <v>55.13</v>
      </c>
      <c r="H180" s="444">
        <v>771.82</v>
      </c>
      <c r="I180" s="446">
        <v>1.2243481129144205E-4</v>
      </c>
    </row>
    <row r="181" spans="1:9" s="160" customFormat="1" ht="25.5">
      <c r="A181" s="445" t="s">
        <v>952</v>
      </c>
      <c r="B181" s="441" t="s">
        <v>953</v>
      </c>
      <c r="C181" s="441" t="s">
        <v>9</v>
      </c>
      <c r="D181" s="442" t="s">
        <v>954</v>
      </c>
      <c r="E181" s="441" t="s">
        <v>448</v>
      </c>
      <c r="F181" s="443">
        <v>30</v>
      </c>
      <c r="G181" s="444">
        <v>48.13</v>
      </c>
      <c r="H181" s="444">
        <v>1443.9</v>
      </c>
      <c r="I181" s="446">
        <v>2.2904773654960117E-4</v>
      </c>
    </row>
    <row r="182" spans="1:9" s="160" customFormat="1" ht="25.5">
      <c r="A182" s="445" t="s">
        <v>955</v>
      </c>
      <c r="B182" s="441" t="s">
        <v>956</v>
      </c>
      <c r="C182" s="441" t="s">
        <v>9</v>
      </c>
      <c r="D182" s="442" t="s">
        <v>957</v>
      </c>
      <c r="E182" s="441" t="s">
        <v>448</v>
      </c>
      <c r="F182" s="443">
        <v>6</v>
      </c>
      <c r="G182" s="444">
        <v>65.89</v>
      </c>
      <c r="H182" s="444">
        <v>395.34</v>
      </c>
      <c r="I182" s="446">
        <v>6.2713298820915109E-5</v>
      </c>
    </row>
    <row r="183" spans="1:9" s="160" customFormat="1" ht="38.25">
      <c r="A183" s="445" t="s">
        <v>958</v>
      </c>
      <c r="B183" s="441" t="s">
        <v>959</v>
      </c>
      <c r="C183" s="441" t="s">
        <v>11</v>
      </c>
      <c r="D183" s="442" t="s">
        <v>960</v>
      </c>
      <c r="E183" s="441" t="s">
        <v>448</v>
      </c>
      <c r="F183" s="443">
        <v>8</v>
      </c>
      <c r="G183" s="444">
        <v>231.46</v>
      </c>
      <c r="H183" s="444">
        <v>1851.68</v>
      </c>
      <c r="I183" s="446">
        <v>2.9373440876387944E-4</v>
      </c>
    </row>
    <row r="184" spans="1:9" s="160" customFormat="1" ht="38.25">
      <c r="A184" s="445" t="s">
        <v>961</v>
      </c>
      <c r="B184" s="441" t="s">
        <v>962</v>
      </c>
      <c r="C184" s="441" t="s">
        <v>9</v>
      </c>
      <c r="D184" s="442" t="s">
        <v>963</v>
      </c>
      <c r="E184" s="441" t="s">
        <v>448</v>
      </c>
      <c r="F184" s="443">
        <v>212</v>
      </c>
      <c r="G184" s="444">
        <v>105.79</v>
      </c>
      <c r="H184" s="444">
        <v>22427.48</v>
      </c>
      <c r="I184" s="446">
        <v>3.5577003466385824E-3</v>
      </c>
    </row>
    <row r="185" spans="1:9" s="160" customFormat="1" ht="38.25">
      <c r="A185" s="445" t="s">
        <v>964</v>
      </c>
      <c r="B185" s="441" t="s">
        <v>965</v>
      </c>
      <c r="C185" s="441" t="s">
        <v>9</v>
      </c>
      <c r="D185" s="442" t="s">
        <v>966</v>
      </c>
      <c r="E185" s="441" t="s">
        <v>448</v>
      </c>
      <c r="F185" s="443">
        <v>2</v>
      </c>
      <c r="G185" s="444">
        <v>350.7</v>
      </c>
      <c r="H185" s="444">
        <v>701.4</v>
      </c>
      <c r="I185" s="446">
        <v>1.1126399502451018E-4</v>
      </c>
    </row>
    <row r="186" spans="1:9" s="160" customFormat="1">
      <c r="A186" s="274" t="s">
        <v>967</v>
      </c>
      <c r="B186" s="256"/>
      <c r="C186" s="256"/>
      <c r="D186" s="255" t="s">
        <v>109</v>
      </c>
      <c r="E186" s="256"/>
      <c r="F186" s="259"/>
      <c r="G186" s="257"/>
      <c r="H186" s="258">
        <v>62401.75</v>
      </c>
      <c r="I186" s="279">
        <v>9.8988708319371656E-3</v>
      </c>
    </row>
    <row r="187" spans="1:9" s="160" customFormat="1" ht="25.5">
      <c r="A187" s="445" t="s">
        <v>968</v>
      </c>
      <c r="B187" s="441" t="s">
        <v>969</v>
      </c>
      <c r="C187" s="441" t="s">
        <v>11</v>
      </c>
      <c r="D187" s="442" t="s">
        <v>970</v>
      </c>
      <c r="E187" s="441" t="s">
        <v>448</v>
      </c>
      <c r="F187" s="443">
        <v>1</v>
      </c>
      <c r="G187" s="444">
        <v>3485.52</v>
      </c>
      <c r="H187" s="444">
        <v>3485.52</v>
      </c>
      <c r="I187" s="446">
        <v>5.5291257476166342E-4</v>
      </c>
    </row>
    <row r="188" spans="1:9" s="160" customFormat="1">
      <c r="A188" s="445" t="s">
        <v>971</v>
      </c>
      <c r="B188" s="441" t="s">
        <v>972</v>
      </c>
      <c r="C188" s="441" t="s">
        <v>136</v>
      </c>
      <c r="D188" s="442" t="s">
        <v>404</v>
      </c>
      <c r="E188" s="441" t="s">
        <v>23</v>
      </c>
      <c r="F188" s="443">
        <v>44</v>
      </c>
      <c r="G188" s="444">
        <v>299.33</v>
      </c>
      <c r="H188" s="444">
        <v>13170.52</v>
      </c>
      <c r="I188" s="446">
        <v>2.0892567318936584E-3</v>
      </c>
    </row>
    <row r="189" spans="1:9" s="160" customFormat="1">
      <c r="A189" s="445" t="s">
        <v>973</v>
      </c>
      <c r="B189" s="441" t="s">
        <v>974</v>
      </c>
      <c r="C189" s="441" t="s">
        <v>136</v>
      </c>
      <c r="D189" s="442" t="s">
        <v>405</v>
      </c>
      <c r="E189" s="441" t="s">
        <v>0</v>
      </c>
      <c r="F189" s="443">
        <v>57</v>
      </c>
      <c r="G189" s="444">
        <v>16.59</v>
      </c>
      <c r="H189" s="444">
        <v>945.63</v>
      </c>
      <c r="I189" s="446">
        <v>1.5000651784292495E-4</v>
      </c>
    </row>
    <row r="190" spans="1:9" s="160" customFormat="1" ht="25.5">
      <c r="A190" s="445" t="s">
        <v>975</v>
      </c>
      <c r="B190" s="441" t="s">
        <v>976</v>
      </c>
      <c r="C190" s="441" t="s">
        <v>9</v>
      </c>
      <c r="D190" s="442" t="s">
        <v>977</v>
      </c>
      <c r="E190" s="441" t="s">
        <v>448</v>
      </c>
      <c r="F190" s="443">
        <v>57</v>
      </c>
      <c r="G190" s="444">
        <v>33</v>
      </c>
      <c r="H190" s="444">
        <v>1881</v>
      </c>
      <c r="I190" s="446">
        <v>2.9838547853023049E-4</v>
      </c>
    </row>
    <row r="191" spans="1:9" s="160" customFormat="1" ht="25.5">
      <c r="A191" s="445" t="s">
        <v>978</v>
      </c>
      <c r="B191" s="441" t="s">
        <v>979</v>
      </c>
      <c r="C191" s="441" t="s">
        <v>9</v>
      </c>
      <c r="D191" s="442" t="s">
        <v>980</v>
      </c>
      <c r="E191" s="441" t="s">
        <v>448</v>
      </c>
      <c r="F191" s="443">
        <v>15</v>
      </c>
      <c r="G191" s="444">
        <v>115.07</v>
      </c>
      <c r="H191" s="444">
        <v>1726.05</v>
      </c>
      <c r="I191" s="446">
        <v>2.7380555832913576E-4</v>
      </c>
    </row>
    <row r="192" spans="1:9" s="160" customFormat="1" ht="25.5">
      <c r="A192" s="445" t="s">
        <v>981</v>
      </c>
      <c r="B192" s="441" t="s">
        <v>982</v>
      </c>
      <c r="C192" s="441" t="s">
        <v>9</v>
      </c>
      <c r="D192" s="442" t="s">
        <v>983</v>
      </c>
      <c r="E192" s="441" t="s">
        <v>210</v>
      </c>
      <c r="F192" s="443">
        <v>200</v>
      </c>
      <c r="G192" s="444">
        <v>81.87</v>
      </c>
      <c r="H192" s="444">
        <v>16374</v>
      </c>
      <c r="I192" s="446">
        <v>2.5974289343189761E-3</v>
      </c>
    </row>
    <row r="193" spans="1:9" s="160" customFormat="1" ht="25.5">
      <c r="A193" s="445" t="s">
        <v>984</v>
      </c>
      <c r="B193" s="441" t="s">
        <v>985</v>
      </c>
      <c r="C193" s="441" t="s">
        <v>9</v>
      </c>
      <c r="D193" s="442" t="s">
        <v>986</v>
      </c>
      <c r="E193" s="441" t="s">
        <v>210</v>
      </c>
      <c r="F193" s="443">
        <v>185</v>
      </c>
      <c r="G193" s="444">
        <v>107.19</v>
      </c>
      <c r="H193" s="444">
        <v>19830.150000000001</v>
      </c>
      <c r="I193" s="446">
        <v>3.1456825077492024E-3</v>
      </c>
    </row>
    <row r="194" spans="1:9" s="160" customFormat="1">
      <c r="A194" s="445" t="s">
        <v>987</v>
      </c>
      <c r="B194" s="441" t="s">
        <v>988</v>
      </c>
      <c r="C194" s="441" t="s">
        <v>546</v>
      </c>
      <c r="D194" s="442" t="s">
        <v>989</v>
      </c>
      <c r="E194" s="441" t="s">
        <v>441</v>
      </c>
      <c r="F194" s="443">
        <v>12</v>
      </c>
      <c r="G194" s="444">
        <v>139.74</v>
      </c>
      <c r="H194" s="444">
        <v>1676.88</v>
      </c>
      <c r="I194" s="446">
        <v>2.660056572236964E-4</v>
      </c>
    </row>
    <row r="195" spans="1:9" s="160" customFormat="1" ht="25.5">
      <c r="A195" s="445" t="s">
        <v>990</v>
      </c>
      <c r="B195" s="441" t="s">
        <v>991</v>
      </c>
      <c r="C195" s="441" t="s">
        <v>9</v>
      </c>
      <c r="D195" s="442" t="s">
        <v>992</v>
      </c>
      <c r="E195" s="441" t="s">
        <v>448</v>
      </c>
      <c r="F195" s="443">
        <v>120</v>
      </c>
      <c r="G195" s="444">
        <v>27.6</v>
      </c>
      <c r="H195" s="444">
        <v>3312</v>
      </c>
      <c r="I195" s="446">
        <v>5.2538687128767859E-4</v>
      </c>
    </row>
    <row r="196" spans="1:9" s="160" customFormat="1">
      <c r="A196" s="274" t="s">
        <v>993</v>
      </c>
      <c r="B196" s="256"/>
      <c r="C196" s="256"/>
      <c r="D196" s="255" t="s">
        <v>115</v>
      </c>
      <c r="E196" s="256"/>
      <c r="F196" s="259"/>
      <c r="G196" s="257"/>
      <c r="H196" s="258">
        <v>305061.82</v>
      </c>
      <c r="I196" s="279">
        <v>5.3444438549000245E-2</v>
      </c>
    </row>
    <row r="197" spans="1:9" s="160" customFormat="1">
      <c r="A197" s="445" t="s">
        <v>994</v>
      </c>
      <c r="B197" s="441" t="s">
        <v>995</v>
      </c>
      <c r="C197" s="441" t="s">
        <v>546</v>
      </c>
      <c r="D197" s="442" t="s">
        <v>996</v>
      </c>
      <c r="E197" s="441" t="s">
        <v>441</v>
      </c>
      <c r="F197" s="443">
        <v>1</v>
      </c>
      <c r="G197" s="444">
        <v>1977.91</v>
      </c>
      <c r="H197" s="444">
        <v>1977.91</v>
      </c>
      <c r="I197" s="446">
        <v>3.1375843797965344E-4</v>
      </c>
    </row>
    <row r="198" spans="1:9" s="160" customFormat="1">
      <c r="A198" s="445" t="s">
        <v>997</v>
      </c>
      <c r="B198" s="441" t="s">
        <v>998</v>
      </c>
      <c r="C198" s="441" t="s">
        <v>9</v>
      </c>
      <c r="D198" s="442" t="s">
        <v>999</v>
      </c>
      <c r="E198" s="441" t="s">
        <v>10</v>
      </c>
      <c r="F198" s="443">
        <v>356.17</v>
      </c>
      <c r="G198" s="444">
        <v>148.59</v>
      </c>
      <c r="H198" s="444">
        <v>52923.3</v>
      </c>
      <c r="I198" s="446">
        <v>8.3952919701748788E-3</v>
      </c>
    </row>
    <row r="199" spans="1:9" s="160" customFormat="1" ht="25.5">
      <c r="A199" s="445" t="s">
        <v>1000</v>
      </c>
      <c r="B199" s="441" t="s">
        <v>1001</v>
      </c>
      <c r="C199" s="441" t="s">
        <v>9</v>
      </c>
      <c r="D199" s="442" t="s">
        <v>1002</v>
      </c>
      <c r="E199" s="441" t="s">
        <v>448</v>
      </c>
      <c r="F199" s="443">
        <v>24</v>
      </c>
      <c r="G199" s="444">
        <v>142.18</v>
      </c>
      <c r="H199" s="444">
        <v>3412.32</v>
      </c>
      <c r="I199" s="446">
        <v>5.4130076347595746E-4</v>
      </c>
    </row>
    <row r="200" spans="1:9" s="160" customFormat="1" ht="25.5">
      <c r="A200" s="445" t="s">
        <v>1003</v>
      </c>
      <c r="B200" s="441" t="s">
        <v>1004</v>
      </c>
      <c r="C200" s="441" t="s">
        <v>9</v>
      </c>
      <c r="D200" s="442" t="s">
        <v>1005</v>
      </c>
      <c r="E200" s="441" t="s">
        <v>448</v>
      </c>
      <c r="F200" s="443">
        <v>70</v>
      </c>
      <c r="G200" s="444">
        <v>2433.25</v>
      </c>
      <c r="H200" s="444">
        <v>170327.5</v>
      </c>
      <c r="I200" s="446">
        <v>2.7019273043252436E-2</v>
      </c>
    </row>
    <row r="201" spans="1:9" s="160" customFormat="1" ht="38.25">
      <c r="A201" s="445" t="s">
        <v>1006</v>
      </c>
      <c r="B201" s="441" t="s">
        <v>1007</v>
      </c>
      <c r="C201" s="441" t="s">
        <v>546</v>
      </c>
      <c r="D201" s="442" t="s">
        <v>451</v>
      </c>
      <c r="E201" s="441" t="s">
        <v>208</v>
      </c>
      <c r="F201" s="443">
        <v>87.5</v>
      </c>
      <c r="G201" s="444">
        <v>375.75</v>
      </c>
      <c r="H201" s="444">
        <v>32878.120000000003</v>
      </c>
      <c r="I201" s="446">
        <v>5.2154989736174062E-3</v>
      </c>
    </row>
    <row r="202" spans="1:9" s="160" customFormat="1">
      <c r="A202" s="445" t="s">
        <v>1580</v>
      </c>
      <c r="B202" s="441" t="s">
        <v>1581</v>
      </c>
      <c r="C202" s="441" t="s">
        <v>11</v>
      </c>
      <c r="D202" s="442" t="s">
        <v>1582</v>
      </c>
      <c r="E202" s="441" t="s">
        <v>210</v>
      </c>
      <c r="F202" s="443">
        <v>93.33</v>
      </c>
      <c r="G202" s="444">
        <v>163.93</v>
      </c>
      <c r="H202" s="444">
        <v>15299.58</v>
      </c>
      <c r="I202" s="446">
        <v>2.4269922911278807E-3</v>
      </c>
    </row>
    <row r="203" spans="1:9" s="160" customFormat="1">
      <c r="A203" s="445" t="s">
        <v>1583</v>
      </c>
      <c r="B203" s="441" t="s">
        <v>1584</v>
      </c>
      <c r="C203" s="441" t="s">
        <v>11</v>
      </c>
      <c r="D203" s="442" t="s">
        <v>1585</v>
      </c>
      <c r="E203" s="441" t="s">
        <v>210</v>
      </c>
      <c r="F203" s="443">
        <v>55.82</v>
      </c>
      <c r="G203" s="444">
        <v>296.45999999999998</v>
      </c>
      <c r="H203" s="444">
        <v>16548.39</v>
      </c>
      <c r="I203" s="446">
        <v>2.6250926470254548E-3</v>
      </c>
    </row>
    <row r="204" spans="1:9" s="160" customFormat="1" ht="25.5">
      <c r="A204" s="445" t="s">
        <v>1586</v>
      </c>
      <c r="B204" s="441" t="s">
        <v>1587</v>
      </c>
      <c r="C204" s="441" t="s">
        <v>9</v>
      </c>
      <c r="D204" s="442" t="s">
        <v>1588</v>
      </c>
      <c r="E204" s="441" t="s">
        <v>210</v>
      </c>
      <c r="F204" s="443">
        <v>224</v>
      </c>
      <c r="G204" s="444">
        <v>25.45</v>
      </c>
      <c r="H204" s="444">
        <v>5700.8</v>
      </c>
      <c r="I204" s="446">
        <v>9.0432532482995101E-4</v>
      </c>
    </row>
    <row r="205" spans="1:9" s="160" customFormat="1" ht="25.5">
      <c r="A205" s="445" t="s">
        <v>1589</v>
      </c>
      <c r="B205" s="441" t="s">
        <v>1590</v>
      </c>
      <c r="C205" s="441" t="s">
        <v>9</v>
      </c>
      <c r="D205" s="442" t="s">
        <v>1591</v>
      </c>
      <c r="E205" s="441" t="s">
        <v>210</v>
      </c>
      <c r="F205" s="443">
        <v>110</v>
      </c>
      <c r="G205" s="444">
        <v>54.49</v>
      </c>
      <c r="H205" s="444">
        <v>5993.9</v>
      </c>
      <c r="I205" s="446">
        <v>9.5082015936329004E-4</v>
      </c>
    </row>
    <row r="206" spans="1:9">
      <c r="A206" s="274" t="s">
        <v>1008</v>
      </c>
      <c r="B206" s="256"/>
      <c r="C206" s="256"/>
      <c r="D206" s="255" t="s">
        <v>117</v>
      </c>
      <c r="E206" s="256"/>
      <c r="F206" s="259"/>
      <c r="G206" s="257"/>
      <c r="H206" s="258">
        <v>7875.3</v>
      </c>
      <c r="I206" s="279">
        <v>1.2492690904142075E-3</v>
      </c>
    </row>
    <row r="207" spans="1:9" s="160" customFormat="1" ht="15.75" thickBot="1">
      <c r="A207" s="447" t="s">
        <v>1009</v>
      </c>
      <c r="B207" s="448" t="s">
        <v>1010</v>
      </c>
      <c r="C207" s="448" t="s">
        <v>136</v>
      </c>
      <c r="D207" s="449" t="s">
        <v>1011</v>
      </c>
      <c r="E207" s="448" t="s">
        <v>10</v>
      </c>
      <c r="F207" s="450">
        <v>2802.6</v>
      </c>
      <c r="G207" s="451">
        <v>2.81</v>
      </c>
      <c r="H207" s="451">
        <v>7875.3</v>
      </c>
      <c r="I207" s="452">
        <v>1.2492690904142075E-3</v>
      </c>
    </row>
    <row r="208" spans="1:9" ht="15.75" thickBot="1">
      <c r="A208" s="455"/>
      <c r="B208" s="456"/>
      <c r="C208" s="456"/>
      <c r="D208" s="456"/>
      <c r="E208" s="456"/>
      <c r="F208" s="457"/>
      <c r="G208" s="453" t="s">
        <v>1592</v>
      </c>
      <c r="H208" s="454">
        <v>6272078.1100000003</v>
      </c>
      <c r="I208" s="453"/>
    </row>
    <row r="209" spans="1:9">
      <c r="A209" s="458"/>
      <c r="B209" s="459"/>
      <c r="C209" s="459"/>
      <c r="D209" s="460"/>
      <c r="E209" s="460"/>
      <c r="F209" s="460"/>
      <c r="G209" s="460"/>
      <c r="H209" s="460"/>
      <c r="I209" s="461"/>
    </row>
    <row r="210" spans="1:9">
      <c r="A210" s="577" t="s">
        <v>1939</v>
      </c>
      <c r="B210" s="578"/>
      <c r="C210" s="578"/>
      <c r="D210" s="578"/>
      <c r="E210" s="578"/>
      <c r="F210" s="578"/>
      <c r="G210" s="578"/>
      <c r="H210" s="578"/>
      <c r="I210" s="579"/>
    </row>
    <row r="211" spans="1:9" ht="15.75" thickBot="1">
      <c r="A211" s="462"/>
      <c r="B211" s="463"/>
      <c r="C211" s="463"/>
      <c r="D211" s="464"/>
      <c r="E211" s="464"/>
      <c r="F211" s="464"/>
      <c r="G211" s="464"/>
      <c r="H211" s="464"/>
      <c r="I211" s="465"/>
    </row>
  </sheetData>
  <mergeCells count="2">
    <mergeCell ref="A210:I210"/>
    <mergeCell ref="A2:I2"/>
  </mergeCells>
  <printOptions horizontalCentered="1"/>
  <pageMargins left="0.51181102362204722" right="0.51181102362204722" top="0.98425196850393704" bottom="0.78740157480314965" header="0.19685039370078741" footer="0.31496062992125984"/>
  <pageSetup paperSize="9" scale="85" orientation="landscape" verticalDpi="360" r:id="rId1"/>
  <headerFooter>
    <oddHeader>&amp;L&amp;G&amp;R&amp;G</oddHeader>
    <oddFooter>&amp;RPágina &amp;P de &amp;N</oddFooter>
  </headerFooter>
  <legacyDrawingHF r:id="rId2"/>
</worksheet>
</file>

<file path=xl/worksheets/sheet6.xml><?xml version="1.0" encoding="utf-8"?>
<worksheet xmlns="http://schemas.openxmlformats.org/spreadsheetml/2006/main" xmlns:r="http://schemas.openxmlformats.org/officeDocument/2006/relationships">
  <dimension ref="A1:N211"/>
  <sheetViews>
    <sheetView workbookViewId="0">
      <selection activeCell="F16" sqref="F16"/>
    </sheetView>
  </sheetViews>
  <sheetFormatPr defaultColWidth="9.140625" defaultRowHeight="15"/>
  <cols>
    <col min="1" max="1" width="7.7109375" style="39" customWidth="1"/>
    <col min="2" max="2" width="68.5703125" style="44" bestFit="1" customWidth="1"/>
    <col min="3" max="3" width="13.42578125" style="39" customWidth="1"/>
    <col min="4" max="4" width="11.28515625" style="44" customWidth="1"/>
    <col min="5" max="5" width="11.7109375" style="44" customWidth="1"/>
    <col min="6" max="7" width="13.28515625" style="44" customWidth="1"/>
    <col min="8" max="8" width="13.7109375" style="44" customWidth="1"/>
    <col min="9" max="10" width="13.28515625" style="44" customWidth="1"/>
    <col min="11" max="12" width="12.28515625" style="44" bestFit="1" customWidth="1"/>
    <col min="13" max="30" width="13.7109375" style="44" bestFit="1" customWidth="1"/>
    <col min="31" max="16384" width="9.140625" style="44"/>
  </cols>
  <sheetData>
    <row r="1" spans="1:14" s="509" customFormat="1" ht="6">
      <c r="A1" s="505"/>
      <c r="B1" s="505"/>
      <c r="C1" s="506"/>
      <c r="D1" s="505"/>
      <c r="E1" s="507"/>
      <c r="F1" s="507"/>
      <c r="G1" s="507"/>
      <c r="H1" s="507"/>
      <c r="I1" s="507"/>
      <c r="J1" s="510"/>
      <c r="K1" s="510"/>
      <c r="L1" s="510"/>
      <c r="M1" s="508"/>
      <c r="N1" s="508"/>
    </row>
    <row r="2" spans="1:14" ht="18">
      <c r="A2" s="552" t="s">
        <v>325</v>
      </c>
      <c r="B2" s="552"/>
      <c r="C2" s="552"/>
      <c r="D2" s="552"/>
      <c r="E2" s="552"/>
      <c r="F2" s="552"/>
      <c r="G2" s="552"/>
      <c r="H2" s="552"/>
      <c r="I2" s="552"/>
      <c r="J2" s="552"/>
      <c r="K2" s="552"/>
      <c r="L2" s="552"/>
      <c r="M2" s="38"/>
      <c r="N2" s="38"/>
    </row>
    <row r="3" spans="1:14">
      <c r="A3" s="8"/>
      <c r="B3" s="8"/>
      <c r="C3" s="270"/>
      <c r="D3" s="8"/>
      <c r="E3" s="34"/>
      <c r="F3" s="34"/>
      <c r="G3" s="34"/>
      <c r="H3" s="34"/>
      <c r="I3" s="34"/>
      <c r="J3" s="511"/>
      <c r="K3" s="511"/>
      <c r="L3" s="511"/>
      <c r="M3" s="6"/>
      <c r="N3" s="6"/>
    </row>
    <row r="4" spans="1:14" s="244" customFormat="1" ht="12.75">
      <c r="A4" s="239" t="s">
        <v>1012</v>
      </c>
      <c r="B4" s="239"/>
      <c r="C4" s="240"/>
      <c r="D4" s="241"/>
      <c r="E4" s="242"/>
      <c r="F4" s="242"/>
      <c r="G4" s="242"/>
      <c r="H4" s="242"/>
      <c r="I4" s="242"/>
      <c r="J4" s="512"/>
      <c r="K4" s="512"/>
      <c r="L4" s="512"/>
      <c r="M4" s="267"/>
      <c r="N4" s="267"/>
    </row>
    <row r="5" spans="1:14" s="244" customFormat="1" ht="12.75">
      <c r="A5" s="239" t="s">
        <v>1013</v>
      </c>
      <c r="B5" s="239"/>
      <c r="C5" s="271"/>
      <c r="D5" s="245"/>
      <c r="E5" s="512"/>
      <c r="F5" s="512"/>
      <c r="G5" s="246" t="s">
        <v>322</v>
      </c>
      <c r="H5" s="266"/>
      <c r="I5" s="266"/>
      <c r="J5" s="512"/>
      <c r="K5" s="512"/>
      <c r="L5" s="512"/>
      <c r="M5" s="267"/>
      <c r="N5" s="267"/>
    </row>
    <row r="6" spans="1:14" s="244" customFormat="1" ht="12.75">
      <c r="A6" s="239" t="s">
        <v>1396</v>
      </c>
      <c r="B6" s="239"/>
      <c r="C6" s="240"/>
      <c r="D6" s="245"/>
      <c r="E6" s="512"/>
      <c r="F6" s="512"/>
      <c r="G6" s="246" t="s">
        <v>1397</v>
      </c>
      <c r="H6" s="266"/>
      <c r="I6" s="243"/>
      <c r="J6" s="512"/>
      <c r="K6" s="512"/>
      <c r="L6" s="512"/>
      <c r="M6" s="267"/>
      <c r="N6" s="267"/>
    </row>
    <row r="7" spans="1:14" s="244" customFormat="1" ht="12.75">
      <c r="A7" s="239" t="s">
        <v>1940</v>
      </c>
      <c r="B7" s="239"/>
      <c r="C7" s="240"/>
      <c r="D7" s="245"/>
      <c r="E7" s="512"/>
      <c r="F7" s="512"/>
      <c r="G7" s="512"/>
      <c r="H7" s="512"/>
      <c r="I7" s="512"/>
      <c r="J7" s="512"/>
      <c r="K7" s="512"/>
      <c r="L7" s="512"/>
      <c r="M7" s="267"/>
      <c r="N7" s="267"/>
    </row>
    <row r="8" spans="1:14" s="244" customFormat="1" ht="13.5" thickBot="1">
      <c r="A8" s="513"/>
      <c r="B8" s="514"/>
      <c r="C8" s="513"/>
      <c r="D8" s="514"/>
      <c r="E8" s="514"/>
      <c r="F8" s="514"/>
      <c r="G8" s="514"/>
      <c r="H8" s="514"/>
      <c r="I8" s="514"/>
      <c r="J8" s="514"/>
      <c r="K8" s="514"/>
      <c r="L8" s="514"/>
    </row>
    <row r="9" spans="1:14" ht="30.75" thickBot="1">
      <c r="A9" s="236" t="s">
        <v>535</v>
      </c>
      <c r="B9" s="236" t="s">
        <v>538</v>
      </c>
      <c r="C9" s="236" t="s">
        <v>1168</v>
      </c>
      <c r="D9" s="236" t="s">
        <v>1169</v>
      </c>
      <c r="E9" s="236" t="s">
        <v>1170</v>
      </c>
      <c r="F9" s="236" t="s">
        <v>1171</v>
      </c>
      <c r="G9" s="236" t="s">
        <v>1172</v>
      </c>
      <c r="H9" s="236" t="s">
        <v>1173</v>
      </c>
      <c r="I9" s="236" t="s">
        <v>1174</v>
      </c>
      <c r="J9" s="236" t="s">
        <v>1175</v>
      </c>
      <c r="K9" s="236" t="s">
        <v>1599</v>
      </c>
      <c r="L9" s="236" t="s">
        <v>1600</v>
      </c>
    </row>
    <row r="10" spans="1:14" ht="26.25" thickBot="1">
      <c r="A10" s="273" t="s">
        <v>544</v>
      </c>
      <c r="B10" s="268" t="s">
        <v>248</v>
      </c>
      <c r="C10" s="269" t="s">
        <v>1601</v>
      </c>
      <c r="D10" s="495" t="s">
        <v>1602</v>
      </c>
      <c r="E10" s="495" t="s">
        <v>1603</v>
      </c>
      <c r="F10" s="495" t="s">
        <v>1603</v>
      </c>
      <c r="G10" s="495" t="s">
        <v>1603</v>
      </c>
      <c r="H10" s="495" t="s">
        <v>1603</v>
      </c>
      <c r="I10" s="495" t="s">
        <v>1603</v>
      </c>
      <c r="J10" s="495" t="s">
        <v>1603</v>
      </c>
      <c r="K10" s="495" t="s">
        <v>1603</v>
      </c>
      <c r="L10" s="496" t="s">
        <v>1603</v>
      </c>
    </row>
    <row r="11" spans="1:14" s="160" customFormat="1" ht="27" thickTop="1" thickBot="1">
      <c r="A11" s="445" t="s">
        <v>545</v>
      </c>
      <c r="B11" s="442" t="s">
        <v>547</v>
      </c>
      <c r="C11" s="441" t="s">
        <v>1601</v>
      </c>
      <c r="D11" s="491" t="s">
        <v>1602</v>
      </c>
      <c r="E11" s="491" t="s">
        <v>1603</v>
      </c>
      <c r="F11" s="491" t="s">
        <v>1603</v>
      </c>
      <c r="G11" s="491" t="s">
        <v>1603</v>
      </c>
      <c r="H11" s="491" t="s">
        <v>1603</v>
      </c>
      <c r="I11" s="491" t="s">
        <v>1603</v>
      </c>
      <c r="J11" s="491" t="s">
        <v>1603</v>
      </c>
      <c r="K11" s="491" t="s">
        <v>1603</v>
      </c>
      <c r="L11" s="497" t="s">
        <v>1603</v>
      </c>
    </row>
    <row r="12" spans="1:14" ht="27" thickTop="1" thickBot="1">
      <c r="A12" s="274" t="s">
        <v>548</v>
      </c>
      <c r="B12" s="255" t="s">
        <v>118</v>
      </c>
      <c r="C12" s="256" t="s">
        <v>1604</v>
      </c>
      <c r="D12" s="272" t="s">
        <v>1604</v>
      </c>
      <c r="E12" s="256" t="s">
        <v>444</v>
      </c>
      <c r="F12" s="256" t="s">
        <v>444</v>
      </c>
      <c r="G12" s="256" t="s">
        <v>444</v>
      </c>
      <c r="H12" s="256" t="s">
        <v>444</v>
      </c>
      <c r="I12" s="256" t="s">
        <v>444</v>
      </c>
      <c r="J12" s="256" t="s">
        <v>444</v>
      </c>
      <c r="K12" s="256" t="s">
        <v>444</v>
      </c>
      <c r="L12" s="498" t="s">
        <v>444</v>
      </c>
    </row>
    <row r="13" spans="1:14" s="160" customFormat="1" ht="65.25" thickTop="1" thickBot="1">
      <c r="A13" s="445" t="s">
        <v>549</v>
      </c>
      <c r="B13" s="442" t="s">
        <v>551</v>
      </c>
      <c r="C13" s="441" t="s">
        <v>1605</v>
      </c>
      <c r="D13" s="491" t="s">
        <v>1605</v>
      </c>
      <c r="E13" s="441" t="s">
        <v>444</v>
      </c>
      <c r="F13" s="441" t="s">
        <v>444</v>
      </c>
      <c r="G13" s="441" t="s">
        <v>444</v>
      </c>
      <c r="H13" s="441" t="s">
        <v>444</v>
      </c>
      <c r="I13" s="441" t="s">
        <v>444</v>
      </c>
      <c r="J13" s="441" t="s">
        <v>444</v>
      </c>
      <c r="K13" s="441" t="s">
        <v>444</v>
      </c>
      <c r="L13" s="499" t="s">
        <v>444</v>
      </c>
    </row>
    <row r="14" spans="1:14" s="160" customFormat="1" ht="27" thickTop="1" thickBot="1">
      <c r="A14" s="445" t="s">
        <v>552</v>
      </c>
      <c r="B14" s="442" t="s">
        <v>1540</v>
      </c>
      <c r="C14" s="441" t="s">
        <v>1606</v>
      </c>
      <c r="D14" s="491" t="s">
        <v>1606</v>
      </c>
      <c r="E14" s="441" t="s">
        <v>444</v>
      </c>
      <c r="F14" s="441" t="s">
        <v>444</v>
      </c>
      <c r="G14" s="441" t="s">
        <v>444</v>
      </c>
      <c r="H14" s="441" t="s">
        <v>444</v>
      </c>
      <c r="I14" s="441" t="s">
        <v>444</v>
      </c>
      <c r="J14" s="441" t="s">
        <v>444</v>
      </c>
      <c r="K14" s="441" t="s">
        <v>444</v>
      </c>
      <c r="L14" s="499" t="s">
        <v>444</v>
      </c>
    </row>
    <row r="15" spans="1:14" s="160" customFormat="1" ht="27" thickTop="1" thickBot="1">
      <c r="A15" s="445" t="s">
        <v>1541</v>
      </c>
      <c r="B15" s="442" t="s">
        <v>1543</v>
      </c>
      <c r="C15" s="441" t="s">
        <v>1607</v>
      </c>
      <c r="D15" s="491" t="s">
        <v>1607</v>
      </c>
      <c r="E15" s="441" t="s">
        <v>444</v>
      </c>
      <c r="F15" s="441" t="s">
        <v>444</v>
      </c>
      <c r="G15" s="441" t="s">
        <v>444</v>
      </c>
      <c r="H15" s="441" t="s">
        <v>444</v>
      </c>
      <c r="I15" s="441" t="s">
        <v>444</v>
      </c>
      <c r="J15" s="441" t="s">
        <v>444</v>
      </c>
      <c r="K15" s="441" t="s">
        <v>444</v>
      </c>
      <c r="L15" s="499" t="s">
        <v>444</v>
      </c>
    </row>
    <row r="16" spans="1:14" s="160" customFormat="1" ht="27" thickTop="1" thickBot="1">
      <c r="A16" s="445" t="s">
        <v>1545</v>
      </c>
      <c r="B16" s="442" t="s">
        <v>554</v>
      </c>
      <c r="C16" s="441" t="s">
        <v>1608</v>
      </c>
      <c r="D16" s="491" t="s">
        <v>1608</v>
      </c>
      <c r="E16" s="441" t="s">
        <v>444</v>
      </c>
      <c r="F16" s="441" t="s">
        <v>444</v>
      </c>
      <c r="G16" s="441" t="s">
        <v>444</v>
      </c>
      <c r="H16" s="441" t="s">
        <v>444</v>
      </c>
      <c r="I16" s="441" t="s">
        <v>444</v>
      </c>
      <c r="J16" s="441" t="s">
        <v>444</v>
      </c>
      <c r="K16" s="441" t="s">
        <v>444</v>
      </c>
      <c r="L16" s="499" t="s">
        <v>444</v>
      </c>
    </row>
    <row r="17" spans="1:12" ht="27" thickTop="1" thickBot="1">
      <c r="A17" s="274" t="s">
        <v>555</v>
      </c>
      <c r="B17" s="255" t="s">
        <v>556</v>
      </c>
      <c r="C17" s="256" t="s">
        <v>1609</v>
      </c>
      <c r="D17" s="272" t="s">
        <v>1610</v>
      </c>
      <c r="E17" s="272" t="s">
        <v>1611</v>
      </c>
      <c r="F17" s="256" t="s">
        <v>444</v>
      </c>
      <c r="G17" s="256" t="s">
        <v>444</v>
      </c>
      <c r="H17" s="256" t="s">
        <v>444</v>
      </c>
      <c r="I17" s="256" t="s">
        <v>444</v>
      </c>
      <c r="J17" s="256" t="s">
        <v>444</v>
      </c>
      <c r="K17" s="256" t="s">
        <v>444</v>
      </c>
      <c r="L17" s="498" t="s">
        <v>444</v>
      </c>
    </row>
    <row r="18" spans="1:12" s="160" customFormat="1" ht="27" thickTop="1" thickBot="1">
      <c r="A18" s="445" t="s">
        <v>557</v>
      </c>
      <c r="B18" s="442" t="s">
        <v>559</v>
      </c>
      <c r="C18" s="441" t="s">
        <v>1612</v>
      </c>
      <c r="D18" s="491" t="s">
        <v>1612</v>
      </c>
      <c r="E18" s="441" t="s">
        <v>444</v>
      </c>
      <c r="F18" s="441" t="s">
        <v>444</v>
      </c>
      <c r="G18" s="441" t="s">
        <v>444</v>
      </c>
      <c r="H18" s="441" t="s">
        <v>444</v>
      </c>
      <c r="I18" s="441" t="s">
        <v>444</v>
      </c>
      <c r="J18" s="441" t="s">
        <v>444</v>
      </c>
      <c r="K18" s="441" t="s">
        <v>444</v>
      </c>
      <c r="L18" s="499" t="s">
        <v>444</v>
      </c>
    </row>
    <row r="19" spans="1:12" s="160" customFormat="1" ht="39.75" thickTop="1" thickBot="1">
      <c r="A19" s="445" t="s">
        <v>560</v>
      </c>
      <c r="B19" s="442" t="s">
        <v>562</v>
      </c>
      <c r="C19" s="441" t="s">
        <v>1613</v>
      </c>
      <c r="D19" s="441" t="s">
        <v>444</v>
      </c>
      <c r="E19" s="491" t="s">
        <v>1613</v>
      </c>
      <c r="F19" s="441" t="s">
        <v>444</v>
      </c>
      <c r="G19" s="441" t="s">
        <v>444</v>
      </c>
      <c r="H19" s="441" t="s">
        <v>444</v>
      </c>
      <c r="I19" s="441" t="s">
        <v>444</v>
      </c>
      <c r="J19" s="441" t="s">
        <v>444</v>
      </c>
      <c r="K19" s="441" t="s">
        <v>444</v>
      </c>
      <c r="L19" s="499" t="s">
        <v>444</v>
      </c>
    </row>
    <row r="20" spans="1:12" s="160" customFormat="1" ht="27" thickTop="1" thickBot="1">
      <c r="A20" s="445" t="s">
        <v>563</v>
      </c>
      <c r="B20" s="442" t="s">
        <v>565</v>
      </c>
      <c r="C20" s="441" t="s">
        <v>1614</v>
      </c>
      <c r="D20" s="491" t="s">
        <v>1614</v>
      </c>
      <c r="E20" s="441" t="s">
        <v>444</v>
      </c>
      <c r="F20" s="441" t="s">
        <v>444</v>
      </c>
      <c r="G20" s="441" t="s">
        <v>444</v>
      </c>
      <c r="H20" s="441" t="s">
        <v>444</v>
      </c>
      <c r="I20" s="441" t="s">
        <v>444</v>
      </c>
      <c r="J20" s="441" t="s">
        <v>444</v>
      </c>
      <c r="K20" s="441" t="s">
        <v>444</v>
      </c>
      <c r="L20" s="499" t="s">
        <v>444</v>
      </c>
    </row>
    <row r="21" spans="1:12" s="160" customFormat="1" ht="27" thickTop="1" thickBot="1">
      <c r="A21" s="445" t="s">
        <v>566</v>
      </c>
      <c r="B21" s="442" t="s">
        <v>1547</v>
      </c>
      <c r="C21" s="441" t="s">
        <v>1615</v>
      </c>
      <c r="D21" s="491" t="s">
        <v>1615</v>
      </c>
      <c r="E21" s="441" t="s">
        <v>444</v>
      </c>
      <c r="F21" s="441" t="s">
        <v>444</v>
      </c>
      <c r="G21" s="441" t="s">
        <v>444</v>
      </c>
      <c r="H21" s="441" t="s">
        <v>444</v>
      </c>
      <c r="I21" s="441" t="s">
        <v>444</v>
      </c>
      <c r="J21" s="441" t="s">
        <v>444</v>
      </c>
      <c r="K21" s="441" t="s">
        <v>444</v>
      </c>
      <c r="L21" s="499" t="s">
        <v>444</v>
      </c>
    </row>
    <row r="22" spans="1:12" ht="27" thickTop="1" thickBot="1">
      <c r="A22" s="274" t="s">
        <v>567</v>
      </c>
      <c r="B22" s="255" t="s">
        <v>13</v>
      </c>
      <c r="C22" s="256" t="s">
        <v>1616</v>
      </c>
      <c r="D22" s="256" t="s">
        <v>444</v>
      </c>
      <c r="E22" s="272" t="s">
        <v>1617</v>
      </c>
      <c r="F22" s="272" t="s">
        <v>1618</v>
      </c>
      <c r="G22" s="256" t="s">
        <v>444</v>
      </c>
      <c r="H22" s="256" t="s">
        <v>444</v>
      </c>
      <c r="I22" s="256" t="s">
        <v>444</v>
      </c>
      <c r="J22" s="256" t="s">
        <v>444</v>
      </c>
      <c r="K22" s="256" t="s">
        <v>444</v>
      </c>
      <c r="L22" s="498" t="s">
        <v>444</v>
      </c>
    </row>
    <row r="23" spans="1:12" s="160" customFormat="1" ht="27" thickTop="1" thickBot="1">
      <c r="A23" s="445" t="s">
        <v>568</v>
      </c>
      <c r="B23" s="442" t="s">
        <v>569</v>
      </c>
      <c r="C23" s="441" t="s">
        <v>1619</v>
      </c>
      <c r="D23" s="441" t="s">
        <v>444</v>
      </c>
      <c r="E23" s="491" t="s">
        <v>1619</v>
      </c>
      <c r="F23" s="441" t="s">
        <v>444</v>
      </c>
      <c r="G23" s="441" t="s">
        <v>444</v>
      </c>
      <c r="H23" s="441" t="s">
        <v>444</v>
      </c>
      <c r="I23" s="441" t="s">
        <v>444</v>
      </c>
      <c r="J23" s="441" t="s">
        <v>444</v>
      </c>
      <c r="K23" s="441" t="s">
        <v>444</v>
      </c>
      <c r="L23" s="499" t="s">
        <v>444</v>
      </c>
    </row>
    <row r="24" spans="1:12" s="160" customFormat="1" ht="27" thickTop="1" thickBot="1">
      <c r="A24" s="445" t="s">
        <v>570</v>
      </c>
      <c r="B24" s="442" t="s">
        <v>572</v>
      </c>
      <c r="C24" s="441" t="s">
        <v>1620</v>
      </c>
      <c r="D24" s="441" t="s">
        <v>444</v>
      </c>
      <c r="E24" s="491" t="s">
        <v>1620</v>
      </c>
      <c r="F24" s="441" t="s">
        <v>444</v>
      </c>
      <c r="G24" s="441" t="s">
        <v>444</v>
      </c>
      <c r="H24" s="441" t="s">
        <v>444</v>
      </c>
      <c r="I24" s="441" t="s">
        <v>444</v>
      </c>
      <c r="J24" s="441" t="s">
        <v>444</v>
      </c>
      <c r="K24" s="441" t="s">
        <v>444</v>
      </c>
      <c r="L24" s="499" t="s">
        <v>444</v>
      </c>
    </row>
    <row r="25" spans="1:12" s="160" customFormat="1" ht="27" thickTop="1" thickBot="1">
      <c r="A25" s="445" t="s">
        <v>573</v>
      </c>
      <c r="B25" s="442" t="s">
        <v>575</v>
      </c>
      <c r="C25" s="441" t="s">
        <v>1621</v>
      </c>
      <c r="D25" s="441" t="s">
        <v>444</v>
      </c>
      <c r="E25" s="491" t="s">
        <v>1622</v>
      </c>
      <c r="F25" s="491" t="s">
        <v>1622</v>
      </c>
      <c r="G25" s="441" t="s">
        <v>444</v>
      </c>
      <c r="H25" s="441" t="s">
        <v>444</v>
      </c>
      <c r="I25" s="441" t="s">
        <v>444</v>
      </c>
      <c r="J25" s="441" t="s">
        <v>444</v>
      </c>
      <c r="K25" s="441" t="s">
        <v>444</v>
      </c>
      <c r="L25" s="499" t="s">
        <v>444</v>
      </c>
    </row>
    <row r="26" spans="1:12" s="160" customFormat="1" ht="27" thickTop="1" thickBot="1">
      <c r="A26" s="445" t="s">
        <v>576</v>
      </c>
      <c r="B26" s="442" t="s">
        <v>578</v>
      </c>
      <c r="C26" s="441" t="s">
        <v>1623</v>
      </c>
      <c r="D26" s="441" t="s">
        <v>444</v>
      </c>
      <c r="E26" s="491" t="s">
        <v>1623</v>
      </c>
      <c r="F26" s="441" t="s">
        <v>444</v>
      </c>
      <c r="G26" s="441" t="s">
        <v>444</v>
      </c>
      <c r="H26" s="441" t="s">
        <v>444</v>
      </c>
      <c r="I26" s="441" t="s">
        <v>444</v>
      </c>
      <c r="J26" s="441" t="s">
        <v>444</v>
      </c>
      <c r="K26" s="441" t="s">
        <v>444</v>
      </c>
      <c r="L26" s="499" t="s">
        <v>444</v>
      </c>
    </row>
    <row r="27" spans="1:12" ht="27" thickTop="1" thickBot="1">
      <c r="A27" s="274" t="s">
        <v>579</v>
      </c>
      <c r="B27" s="255" t="s">
        <v>580</v>
      </c>
      <c r="C27" s="256" t="s">
        <v>1624</v>
      </c>
      <c r="D27" s="272" t="s">
        <v>1625</v>
      </c>
      <c r="E27" s="272" t="s">
        <v>1626</v>
      </c>
      <c r="F27" s="272" t="s">
        <v>1627</v>
      </c>
      <c r="G27" s="272" t="s">
        <v>1628</v>
      </c>
      <c r="H27" s="256" t="s">
        <v>444</v>
      </c>
      <c r="I27" s="256" t="s">
        <v>444</v>
      </c>
      <c r="J27" s="256" t="s">
        <v>444</v>
      </c>
      <c r="K27" s="256" t="s">
        <v>444</v>
      </c>
      <c r="L27" s="498" t="s">
        <v>444</v>
      </c>
    </row>
    <row r="28" spans="1:12" s="160" customFormat="1" ht="27" thickTop="1" thickBot="1">
      <c r="A28" s="445" t="s">
        <v>581</v>
      </c>
      <c r="B28" s="442" t="s">
        <v>583</v>
      </c>
      <c r="C28" s="441" t="s">
        <v>1629</v>
      </c>
      <c r="D28" s="441" t="s">
        <v>444</v>
      </c>
      <c r="E28" s="491" t="s">
        <v>1629</v>
      </c>
      <c r="F28" s="441" t="s">
        <v>444</v>
      </c>
      <c r="G28" s="441" t="s">
        <v>444</v>
      </c>
      <c r="H28" s="441" t="s">
        <v>444</v>
      </c>
      <c r="I28" s="441" t="s">
        <v>444</v>
      </c>
      <c r="J28" s="441" t="s">
        <v>444</v>
      </c>
      <c r="K28" s="441" t="s">
        <v>444</v>
      </c>
      <c r="L28" s="499" t="s">
        <v>444</v>
      </c>
    </row>
    <row r="29" spans="1:12" s="160" customFormat="1" ht="27" thickTop="1" thickBot="1">
      <c r="A29" s="445" t="s">
        <v>584</v>
      </c>
      <c r="B29" s="442" t="s">
        <v>479</v>
      </c>
      <c r="C29" s="441" t="s">
        <v>1630</v>
      </c>
      <c r="D29" s="441" t="s">
        <v>444</v>
      </c>
      <c r="E29" s="441" t="s">
        <v>444</v>
      </c>
      <c r="F29" s="491" t="s">
        <v>1630</v>
      </c>
      <c r="G29" s="441" t="s">
        <v>444</v>
      </c>
      <c r="H29" s="441" t="s">
        <v>444</v>
      </c>
      <c r="I29" s="441" t="s">
        <v>444</v>
      </c>
      <c r="J29" s="441" t="s">
        <v>444</v>
      </c>
      <c r="K29" s="441" t="s">
        <v>444</v>
      </c>
      <c r="L29" s="499" t="s">
        <v>444</v>
      </c>
    </row>
    <row r="30" spans="1:12" s="160" customFormat="1" ht="27" thickTop="1" thickBot="1">
      <c r="A30" s="445" t="s">
        <v>586</v>
      </c>
      <c r="B30" s="442" t="s">
        <v>408</v>
      </c>
      <c r="C30" s="441" t="s">
        <v>1631</v>
      </c>
      <c r="D30" s="491" t="s">
        <v>1632</v>
      </c>
      <c r="E30" s="491" t="s">
        <v>1633</v>
      </c>
      <c r="F30" s="491" t="s">
        <v>1634</v>
      </c>
      <c r="G30" s="441" t="s">
        <v>444</v>
      </c>
      <c r="H30" s="441" t="s">
        <v>444</v>
      </c>
      <c r="I30" s="441" t="s">
        <v>444</v>
      </c>
      <c r="J30" s="441" t="s">
        <v>444</v>
      </c>
      <c r="K30" s="441" t="s">
        <v>444</v>
      </c>
      <c r="L30" s="499" t="s">
        <v>444</v>
      </c>
    </row>
    <row r="31" spans="1:12" s="160" customFormat="1" ht="39.75" thickTop="1" thickBot="1">
      <c r="A31" s="445" t="s">
        <v>589</v>
      </c>
      <c r="B31" s="442" t="s">
        <v>591</v>
      </c>
      <c r="C31" s="441" t="s">
        <v>1635</v>
      </c>
      <c r="D31" s="441" t="s">
        <v>444</v>
      </c>
      <c r="E31" s="441" t="s">
        <v>444</v>
      </c>
      <c r="F31" s="491" t="s">
        <v>1635</v>
      </c>
      <c r="G31" s="441" t="s">
        <v>444</v>
      </c>
      <c r="H31" s="441" t="s">
        <v>444</v>
      </c>
      <c r="I31" s="441" t="s">
        <v>444</v>
      </c>
      <c r="J31" s="441" t="s">
        <v>444</v>
      </c>
      <c r="K31" s="441" t="s">
        <v>444</v>
      </c>
      <c r="L31" s="499" t="s">
        <v>444</v>
      </c>
    </row>
    <row r="32" spans="1:12" s="160" customFormat="1" ht="27" thickTop="1" thickBot="1">
      <c r="A32" s="445" t="s">
        <v>592</v>
      </c>
      <c r="B32" s="442" t="s">
        <v>594</v>
      </c>
      <c r="C32" s="441" t="s">
        <v>1636</v>
      </c>
      <c r="D32" s="441" t="s">
        <v>444</v>
      </c>
      <c r="E32" s="441" t="s">
        <v>444</v>
      </c>
      <c r="F32" s="491" t="s">
        <v>1636</v>
      </c>
      <c r="G32" s="441" t="s">
        <v>444</v>
      </c>
      <c r="H32" s="441" t="s">
        <v>444</v>
      </c>
      <c r="I32" s="441" t="s">
        <v>444</v>
      </c>
      <c r="J32" s="441" t="s">
        <v>444</v>
      </c>
      <c r="K32" s="441" t="s">
        <v>444</v>
      </c>
      <c r="L32" s="499" t="s">
        <v>444</v>
      </c>
    </row>
    <row r="33" spans="1:12" s="160" customFormat="1" ht="39.75" thickTop="1" thickBot="1">
      <c r="A33" s="445" t="s">
        <v>595</v>
      </c>
      <c r="B33" s="442" t="s">
        <v>597</v>
      </c>
      <c r="C33" s="441" t="s">
        <v>1637</v>
      </c>
      <c r="D33" s="441" t="s">
        <v>444</v>
      </c>
      <c r="E33" s="441" t="s">
        <v>444</v>
      </c>
      <c r="F33" s="491" t="s">
        <v>1637</v>
      </c>
      <c r="G33" s="441" t="s">
        <v>444</v>
      </c>
      <c r="H33" s="441" t="s">
        <v>444</v>
      </c>
      <c r="I33" s="441" t="s">
        <v>444</v>
      </c>
      <c r="J33" s="441" t="s">
        <v>444</v>
      </c>
      <c r="K33" s="441" t="s">
        <v>444</v>
      </c>
      <c r="L33" s="499" t="s">
        <v>444</v>
      </c>
    </row>
    <row r="34" spans="1:12" s="160" customFormat="1" ht="27" thickTop="1" thickBot="1">
      <c r="A34" s="445" t="s">
        <v>598</v>
      </c>
      <c r="B34" s="442" t="s">
        <v>600</v>
      </c>
      <c r="C34" s="441" t="s">
        <v>1638</v>
      </c>
      <c r="D34" s="441" t="s">
        <v>444</v>
      </c>
      <c r="E34" s="441" t="s">
        <v>444</v>
      </c>
      <c r="F34" s="491" t="s">
        <v>1638</v>
      </c>
      <c r="G34" s="441" t="s">
        <v>444</v>
      </c>
      <c r="H34" s="441" t="s">
        <v>444</v>
      </c>
      <c r="I34" s="441" t="s">
        <v>444</v>
      </c>
      <c r="J34" s="441" t="s">
        <v>444</v>
      </c>
      <c r="K34" s="441" t="s">
        <v>444</v>
      </c>
      <c r="L34" s="499" t="s">
        <v>444</v>
      </c>
    </row>
    <row r="35" spans="1:12" s="160" customFormat="1" ht="39.75" thickTop="1" thickBot="1">
      <c r="A35" s="445" t="s">
        <v>601</v>
      </c>
      <c r="B35" s="442" t="s">
        <v>603</v>
      </c>
      <c r="C35" s="441" t="s">
        <v>1639</v>
      </c>
      <c r="D35" s="441" t="s">
        <v>444</v>
      </c>
      <c r="E35" s="441" t="s">
        <v>444</v>
      </c>
      <c r="F35" s="491" t="s">
        <v>1640</v>
      </c>
      <c r="G35" s="491" t="s">
        <v>1640</v>
      </c>
      <c r="H35" s="441" t="s">
        <v>444</v>
      </c>
      <c r="I35" s="441" t="s">
        <v>444</v>
      </c>
      <c r="J35" s="441" t="s">
        <v>444</v>
      </c>
      <c r="K35" s="441" t="s">
        <v>444</v>
      </c>
      <c r="L35" s="499" t="s">
        <v>444</v>
      </c>
    </row>
    <row r="36" spans="1:12" s="160" customFormat="1" ht="39.75" thickTop="1" thickBot="1">
      <c r="A36" s="445" t="s">
        <v>604</v>
      </c>
      <c r="B36" s="442" t="s">
        <v>606</v>
      </c>
      <c r="C36" s="441" t="s">
        <v>1641</v>
      </c>
      <c r="D36" s="441" t="s">
        <v>444</v>
      </c>
      <c r="E36" s="441" t="s">
        <v>444</v>
      </c>
      <c r="F36" s="491" t="s">
        <v>1642</v>
      </c>
      <c r="G36" s="491" t="s">
        <v>1642</v>
      </c>
      <c r="H36" s="441" t="s">
        <v>444</v>
      </c>
      <c r="I36" s="441" t="s">
        <v>444</v>
      </c>
      <c r="J36" s="441" t="s">
        <v>444</v>
      </c>
      <c r="K36" s="441" t="s">
        <v>444</v>
      </c>
      <c r="L36" s="499" t="s">
        <v>444</v>
      </c>
    </row>
    <row r="37" spans="1:12" s="160" customFormat="1" ht="39.75" thickTop="1" thickBot="1">
      <c r="A37" s="445" t="s">
        <v>607</v>
      </c>
      <c r="B37" s="442" t="s">
        <v>1550</v>
      </c>
      <c r="C37" s="441" t="s">
        <v>1643</v>
      </c>
      <c r="D37" s="441" t="s">
        <v>444</v>
      </c>
      <c r="E37" s="441" t="s">
        <v>444</v>
      </c>
      <c r="F37" s="491" t="s">
        <v>1643</v>
      </c>
      <c r="G37" s="441" t="s">
        <v>444</v>
      </c>
      <c r="H37" s="441" t="s">
        <v>444</v>
      </c>
      <c r="I37" s="441" t="s">
        <v>444</v>
      </c>
      <c r="J37" s="441" t="s">
        <v>444</v>
      </c>
      <c r="K37" s="441" t="s">
        <v>444</v>
      </c>
      <c r="L37" s="499" t="s">
        <v>444</v>
      </c>
    </row>
    <row r="38" spans="1:12" s="160" customFormat="1" ht="27" thickTop="1" thickBot="1">
      <c r="A38" s="445" t="s">
        <v>610</v>
      </c>
      <c r="B38" s="442" t="s">
        <v>609</v>
      </c>
      <c r="C38" s="441" t="s">
        <v>1644</v>
      </c>
      <c r="D38" s="441" t="s">
        <v>444</v>
      </c>
      <c r="E38" s="441" t="s">
        <v>444</v>
      </c>
      <c r="F38" s="491" t="s">
        <v>1644</v>
      </c>
      <c r="G38" s="441" t="s">
        <v>444</v>
      </c>
      <c r="H38" s="441" t="s">
        <v>444</v>
      </c>
      <c r="I38" s="441" t="s">
        <v>444</v>
      </c>
      <c r="J38" s="441" t="s">
        <v>444</v>
      </c>
      <c r="K38" s="441" t="s">
        <v>444</v>
      </c>
      <c r="L38" s="499" t="s">
        <v>444</v>
      </c>
    </row>
    <row r="39" spans="1:12" s="160" customFormat="1" ht="27" thickTop="1" thickBot="1">
      <c r="A39" s="445" t="s">
        <v>613</v>
      </c>
      <c r="B39" s="442" t="s">
        <v>615</v>
      </c>
      <c r="C39" s="441" t="s">
        <v>1645</v>
      </c>
      <c r="D39" s="441" t="s">
        <v>444</v>
      </c>
      <c r="E39" s="441" t="s">
        <v>444</v>
      </c>
      <c r="F39" s="491" t="s">
        <v>1646</v>
      </c>
      <c r="G39" s="491" t="s">
        <v>1646</v>
      </c>
      <c r="H39" s="441" t="s">
        <v>444</v>
      </c>
      <c r="I39" s="441" t="s">
        <v>444</v>
      </c>
      <c r="J39" s="441" t="s">
        <v>444</v>
      </c>
      <c r="K39" s="441" t="s">
        <v>444</v>
      </c>
      <c r="L39" s="499" t="s">
        <v>444</v>
      </c>
    </row>
    <row r="40" spans="1:12" s="160" customFormat="1" ht="27" thickTop="1" thickBot="1">
      <c r="A40" s="445" t="s">
        <v>616</v>
      </c>
      <c r="B40" s="442" t="s">
        <v>618</v>
      </c>
      <c r="C40" s="441" t="s">
        <v>1647</v>
      </c>
      <c r="D40" s="441" t="s">
        <v>444</v>
      </c>
      <c r="E40" s="441" t="s">
        <v>444</v>
      </c>
      <c r="F40" s="491" t="s">
        <v>1647</v>
      </c>
      <c r="G40" s="441" t="s">
        <v>444</v>
      </c>
      <c r="H40" s="441" t="s">
        <v>444</v>
      </c>
      <c r="I40" s="441" t="s">
        <v>444</v>
      </c>
      <c r="J40" s="441" t="s">
        <v>444</v>
      </c>
      <c r="K40" s="441" t="s">
        <v>444</v>
      </c>
      <c r="L40" s="499" t="s">
        <v>444</v>
      </c>
    </row>
    <row r="41" spans="1:12" s="160" customFormat="1" ht="39.75" thickTop="1" thickBot="1">
      <c r="A41" s="445" t="s">
        <v>619</v>
      </c>
      <c r="B41" s="442" t="s">
        <v>621</v>
      </c>
      <c r="C41" s="441" t="s">
        <v>1648</v>
      </c>
      <c r="D41" s="441" t="s">
        <v>444</v>
      </c>
      <c r="E41" s="441" t="s">
        <v>444</v>
      </c>
      <c r="F41" s="491" t="s">
        <v>1649</v>
      </c>
      <c r="G41" s="491" t="s">
        <v>1649</v>
      </c>
      <c r="H41" s="441" t="s">
        <v>444</v>
      </c>
      <c r="I41" s="441" t="s">
        <v>444</v>
      </c>
      <c r="J41" s="441" t="s">
        <v>444</v>
      </c>
      <c r="K41" s="441" t="s">
        <v>444</v>
      </c>
      <c r="L41" s="499" t="s">
        <v>444</v>
      </c>
    </row>
    <row r="42" spans="1:12" s="160" customFormat="1" ht="39.75" thickTop="1" thickBot="1">
      <c r="A42" s="445" t="s">
        <v>622</v>
      </c>
      <c r="B42" s="442" t="s">
        <v>624</v>
      </c>
      <c r="C42" s="441" t="s">
        <v>1650</v>
      </c>
      <c r="D42" s="441" t="s">
        <v>444</v>
      </c>
      <c r="E42" s="441" t="s">
        <v>444</v>
      </c>
      <c r="F42" s="491" t="s">
        <v>1651</v>
      </c>
      <c r="G42" s="491" t="s">
        <v>1651</v>
      </c>
      <c r="H42" s="441" t="s">
        <v>444</v>
      </c>
      <c r="I42" s="441" t="s">
        <v>444</v>
      </c>
      <c r="J42" s="441" t="s">
        <v>444</v>
      </c>
      <c r="K42" s="441" t="s">
        <v>444</v>
      </c>
      <c r="L42" s="499" t="s">
        <v>444</v>
      </c>
    </row>
    <row r="43" spans="1:12" s="160" customFormat="1" ht="27" thickTop="1" thickBot="1">
      <c r="A43" s="445" t="s">
        <v>625</v>
      </c>
      <c r="B43" s="442" t="s">
        <v>627</v>
      </c>
      <c r="C43" s="441" t="s">
        <v>1652</v>
      </c>
      <c r="D43" s="441" t="s">
        <v>444</v>
      </c>
      <c r="E43" s="441" t="s">
        <v>444</v>
      </c>
      <c r="F43" s="491" t="s">
        <v>1653</v>
      </c>
      <c r="G43" s="491" t="s">
        <v>1653</v>
      </c>
      <c r="H43" s="441" t="s">
        <v>444</v>
      </c>
      <c r="I43" s="441" t="s">
        <v>444</v>
      </c>
      <c r="J43" s="441" t="s">
        <v>444</v>
      </c>
      <c r="K43" s="441" t="s">
        <v>444</v>
      </c>
      <c r="L43" s="499" t="s">
        <v>444</v>
      </c>
    </row>
    <row r="44" spans="1:12" ht="26.25" thickTop="1">
      <c r="A44" s="274" t="s">
        <v>628</v>
      </c>
      <c r="B44" s="255" t="s">
        <v>30</v>
      </c>
      <c r="C44" s="256" t="s">
        <v>1654</v>
      </c>
      <c r="D44" s="256" t="s">
        <v>444</v>
      </c>
      <c r="E44" s="256" t="s">
        <v>444</v>
      </c>
      <c r="F44" s="256" t="s">
        <v>444</v>
      </c>
      <c r="G44" s="256" t="s">
        <v>444</v>
      </c>
      <c r="H44" s="256" t="s">
        <v>444</v>
      </c>
      <c r="I44" s="256" t="s">
        <v>444</v>
      </c>
      <c r="J44" s="256" t="s">
        <v>444</v>
      </c>
      <c r="K44" s="256" t="s">
        <v>444</v>
      </c>
      <c r="L44" s="498" t="s">
        <v>444</v>
      </c>
    </row>
    <row r="45" spans="1:12" ht="26.25" thickBot="1">
      <c r="A45" s="274" t="s">
        <v>629</v>
      </c>
      <c r="B45" s="255" t="s">
        <v>134</v>
      </c>
      <c r="C45" s="256" t="s">
        <v>1655</v>
      </c>
      <c r="D45" s="256" t="s">
        <v>444</v>
      </c>
      <c r="E45" s="256" t="s">
        <v>444</v>
      </c>
      <c r="F45" s="256" t="s">
        <v>444</v>
      </c>
      <c r="G45" s="272" t="s">
        <v>1656</v>
      </c>
      <c r="H45" s="272" t="s">
        <v>1657</v>
      </c>
      <c r="I45" s="256" t="s">
        <v>444</v>
      </c>
      <c r="J45" s="256" t="s">
        <v>444</v>
      </c>
      <c r="K45" s="272" t="s">
        <v>1658</v>
      </c>
      <c r="L45" s="500" t="s">
        <v>1659</v>
      </c>
    </row>
    <row r="46" spans="1:12" s="160" customFormat="1" ht="27" thickTop="1" thickBot="1">
      <c r="A46" s="445" t="s">
        <v>630</v>
      </c>
      <c r="B46" s="442" t="s">
        <v>615</v>
      </c>
      <c r="C46" s="441" t="s">
        <v>1660</v>
      </c>
      <c r="D46" s="441" t="s">
        <v>444</v>
      </c>
      <c r="E46" s="441" t="s">
        <v>444</v>
      </c>
      <c r="F46" s="441" t="s">
        <v>444</v>
      </c>
      <c r="G46" s="491" t="s">
        <v>1660</v>
      </c>
      <c r="H46" s="441" t="s">
        <v>444</v>
      </c>
      <c r="I46" s="441" t="s">
        <v>444</v>
      </c>
      <c r="J46" s="441" t="s">
        <v>444</v>
      </c>
      <c r="K46" s="441" t="s">
        <v>444</v>
      </c>
      <c r="L46" s="499" t="s">
        <v>444</v>
      </c>
    </row>
    <row r="47" spans="1:12" s="160" customFormat="1" ht="65.25" thickTop="1" thickBot="1">
      <c r="A47" s="445" t="s">
        <v>631</v>
      </c>
      <c r="B47" s="442" t="s">
        <v>632</v>
      </c>
      <c r="C47" s="441" t="s">
        <v>1661</v>
      </c>
      <c r="D47" s="441" t="s">
        <v>444</v>
      </c>
      <c r="E47" s="441" t="s">
        <v>444</v>
      </c>
      <c r="F47" s="441" t="s">
        <v>444</v>
      </c>
      <c r="G47" s="491" t="s">
        <v>1662</v>
      </c>
      <c r="H47" s="491" t="s">
        <v>1662</v>
      </c>
      <c r="I47" s="441" t="s">
        <v>444</v>
      </c>
      <c r="J47" s="441" t="s">
        <v>444</v>
      </c>
      <c r="K47" s="441" t="s">
        <v>444</v>
      </c>
      <c r="L47" s="499" t="s">
        <v>444</v>
      </c>
    </row>
    <row r="48" spans="1:12" s="160" customFormat="1" ht="39.75" thickTop="1" thickBot="1">
      <c r="A48" s="445" t="s">
        <v>633</v>
      </c>
      <c r="B48" s="442" t="s">
        <v>624</v>
      </c>
      <c r="C48" s="441" t="s">
        <v>1663</v>
      </c>
      <c r="D48" s="441" t="s">
        <v>444</v>
      </c>
      <c r="E48" s="441" t="s">
        <v>444</v>
      </c>
      <c r="F48" s="441" t="s">
        <v>444</v>
      </c>
      <c r="G48" s="491" t="s">
        <v>1664</v>
      </c>
      <c r="H48" s="491" t="s">
        <v>1664</v>
      </c>
      <c r="I48" s="441" t="s">
        <v>444</v>
      </c>
      <c r="J48" s="441" t="s">
        <v>444</v>
      </c>
      <c r="K48" s="441" t="s">
        <v>444</v>
      </c>
      <c r="L48" s="499" t="s">
        <v>444</v>
      </c>
    </row>
    <row r="49" spans="1:12" s="160" customFormat="1" ht="27" thickTop="1" thickBot="1">
      <c r="A49" s="445" t="s">
        <v>634</v>
      </c>
      <c r="B49" s="442" t="s">
        <v>627</v>
      </c>
      <c r="C49" s="441" t="s">
        <v>1665</v>
      </c>
      <c r="D49" s="441" t="s">
        <v>444</v>
      </c>
      <c r="E49" s="441" t="s">
        <v>444</v>
      </c>
      <c r="F49" s="441" t="s">
        <v>444</v>
      </c>
      <c r="G49" s="491" t="s">
        <v>1666</v>
      </c>
      <c r="H49" s="491" t="s">
        <v>1666</v>
      </c>
      <c r="I49" s="441" t="s">
        <v>444</v>
      </c>
      <c r="J49" s="441" t="s">
        <v>444</v>
      </c>
      <c r="K49" s="441" t="s">
        <v>444</v>
      </c>
      <c r="L49" s="499" t="s">
        <v>444</v>
      </c>
    </row>
    <row r="50" spans="1:12" s="160" customFormat="1" ht="39.75" thickTop="1" thickBot="1">
      <c r="A50" s="445" t="s">
        <v>635</v>
      </c>
      <c r="B50" s="442" t="s">
        <v>637</v>
      </c>
      <c r="C50" s="441" t="s">
        <v>1667</v>
      </c>
      <c r="D50" s="441" t="s">
        <v>444</v>
      </c>
      <c r="E50" s="441" t="s">
        <v>444</v>
      </c>
      <c r="F50" s="441" t="s">
        <v>444</v>
      </c>
      <c r="G50" s="441" t="s">
        <v>444</v>
      </c>
      <c r="H50" s="441" t="s">
        <v>444</v>
      </c>
      <c r="I50" s="441" t="s">
        <v>444</v>
      </c>
      <c r="J50" s="441" t="s">
        <v>444</v>
      </c>
      <c r="K50" s="491" t="s">
        <v>1667</v>
      </c>
      <c r="L50" s="499" t="s">
        <v>444</v>
      </c>
    </row>
    <row r="51" spans="1:12" s="160" customFormat="1" ht="27" thickTop="1" thickBot="1">
      <c r="A51" s="445" t="s">
        <v>638</v>
      </c>
      <c r="B51" s="442" t="s">
        <v>640</v>
      </c>
      <c r="C51" s="441" t="s">
        <v>1668</v>
      </c>
      <c r="D51" s="441" t="s">
        <v>444</v>
      </c>
      <c r="E51" s="441" t="s">
        <v>444</v>
      </c>
      <c r="F51" s="441" t="s">
        <v>444</v>
      </c>
      <c r="G51" s="441" t="s">
        <v>444</v>
      </c>
      <c r="H51" s="441" t="s">
        <v>444</v>
      </c>
      <c r="I51" s="441" t="s">
        <v>444</v>
      </c>
      <c r="J51" s="441" t="s">
        <v>444</v>
      </c>
      <c r="K51" s="491" t="s">
        <v>1669</v>
      </c>
      <c r="L51" s="497" t="s">
        <v>1669</v>
      </c>
    </row>
    <row r="52" spans="1:12" ht="27" thickTop="1" thickBot="1">
      <c r="A52" s="274" t="s">
        <v>641</v>
      </c>
      <c r="B52" s="255" t="s">
        <v>642</v>
      </c>
      <c r="C52" s="256" t="s">
        <v>1670</v>
      </c>
      <c r="D52" s="256" t="s">
        <v>444</v>
      </c>
      <c r="E52" s="256" t="s">
        <v>444</v>
      </c>
      <c r="F52" s="256" t="s">
        <v>444</v>
      </c>
      <c r="G52" s="256" t="s">
        <v>444</v>
      </c>
      <c r="H52" s="272" t="s">
        <v>1671</v>
      </c>
      <c r="I52" s="272" t="s">
        <v>1672</v>
      </c>
      <c r="J52" s="272" t="s">
        <v>1673</v>
      </c>
      <c r="K52" s="256" t="s">
        <v>444</v>
      </c>
      <c r="L52" s="498" t="s">
        <v>444</v>
      </c>
    </row>
    <row r="53" spans="1:12" s="160" customFormat="1" ht="39.75" thickTop="1" thickBot="1">
      <c r="A53" s="445" t="s">
        <v>643</v>
      </c>
      <c r="B53" s="442" t="s">
        <v>645</v>
      </c>
      <c r="C53" s="441" t="s">
        <v>1674</v>
      </c>
      <c r="D53" s="441" t="s">
        <v>444</v>
      </c>
      <c r="E53" s="441" t="s">
        <v>444</v>
      </c>
      <c r="F53" s="441" t="s">
        <v>444</v>
      </c>
      <c r="G53" s="441" t="s">
        <v>444</v>
      </c>
      <c r="H53" s="491" t="s">
        <v>1674</v>
      </c>
      <c r="I53" s="441" t="s">
        <v>444</v>
      </c>
      <c r="J53" s="441" t="s">
        <v>444</v>
      </c>
      <c r="K53" s="441" t="s">
        <v>444</v>
      </c>
      <c r="L53" s="499" t="s">
        <v>444</v>
      </c>
    </row>
    <row r="54" spans="1:12" s="160" customFormat="1" ht="65.25" thickTop="1" thickBot="1">
      <c r="A54" s="445" t="s">
        <v>646</v>
      </c>
      <c r="B54" s="442" t="s">
        <v>1165</v>
      </c>
      <c r="C54" s="441" t="s">
        <v>1675</v>
      </c>
      <c r="D54" s="441" t="s">
        <v>444</v>
      </c>
      <c r="E54" s="441" t="s">
        <v>444</v>
      </c>
      <c r="F54" s="441" t="s">
        <v>444</v>
      </c>
      <c r="G54" s="441" t="s">
        <v>444</v>
      </c>
      <c r="H54" s="441" t="s">
        <v>444</v>
      </c>
      <c r="I54" s="491" t="s">
        <v>1676</v>
      </c>
      <c r="J54" s="491" t="s">
        <v>1676</v>
      </c>
      <c r="K54" s="441" t="s">
        <v>444</v>
      </c>
      <c r="L54" s="499" t="s">
        <v>444</v>
      </c>
    </row>
    <row r="55" spans="1:12" s="160" customFormat="1" ht="39.75" thickTop="1" thickBot="1">
      <c r="A55" s="445" t="s">
        <v>647</v>
      </c>
      <c r="B55" s="442" t="s">
        <v>649</v>
      </c>
      <c r="C55" s="441" t="s">
        <v>1677</v>
      </c>
      <c r="D55" s="441" t="s">
        <v>444</v>
      </c>
      <c r="E55" s="441" t="s">
        <v>444</v>
      </c>
      <c r="F55" s="441" t="s">
        <v>444</v>
      </c>
      <c r="G55" s="441" t="s">
        <v>444</v>
      </c>
      <c r="H55" s="441" t="s">
        <v>444</v>
      </c>
      <c r="I55" s="491" t="s">
        <v>1677</v>
      </c>
      <c r="J55" s="441" t="s">
        <v>444</v>
      </c>
      <c r="K55" s="441" t="s">
        <v>444</v>
      </c>
      <c r="L55" s="499" t="s">
        <v>444</v>
      </c>
    </row>
    <row r="56" spans="1:12" s="160" customFormat="1" ht="39.75" thickTop="1" thickBot="1">
      <c r="A56" s="445" t="s">
        <v>650</v>
      </c>
      <c r="B56" s="442" t="s">
        <v>603</v>
      </c>
      <c r="C56" s="441" t="s">
        <v>1678</v>
      </c>
      <c r="D56" s="441" t="s">
        <v>444</v>
      </c>
      <c r="E56" s="441" t="s">
        <v>444</v>
      </c>
      <c r="F56" s="441" t="s">
        <v>444</v>
      </c>
      <c r="G56" s="441" t="s">
        <v>444</v>
      </c>
      <c r="H56" s="441" t="s">
        <v>444</v>
      </c>
      <c r="I56" s="491" t="s">
        <v>1678</v>
      </c>
      <c r="J56" s="441" t="s">
        <v>444</v>
      </c>
      <c r="K56" s="441" t="s">
        <v>444</v>
      </c>
      <c r="L56" s="499" t="s">
        <v>444</v>
      </c>
    </row>
    <row r="57" spans="1:12" s="160" customFormat="1" ht="39.75" thickTop="1" thickBot="1">
      <c r="A57" s="445" t="s">
        <v>651</v>
      </c>
      <c r="B57" s="442" t="s">
        <v>606</v>
      </c>
      <c r="C57" s="441" t="s">
        <v>1641</v>
      </c>
      <c r="D57" s="441" t="s">
        <v>444</v>
      </c>
      <c r="E57" s="441" t="s">
        <v>444</v>
      </c>
      <c r="F57" s="441" t="s">
        <v>444</v>
      </c>
      <c r="G57" s="441" t="s">
        <v>444</v>
      </c>
      <c r="H57" s="491" t="s">
        <v>1641</v>
      </c>
      <c r="I57" s="441" t="s">
        <v>444</v>
      </c>
      <c r="J57" s="441" t="s">
        <v>444</v>
      </c>
      <c r="K57" s="441" t="s">
        <v>444</v>
      </c>
      <c r="L57" s="499" t="s">
        <v>444</v>
      </c>
    </row>
    <row r="58" spans="1:12" s="160" customFormat="1" ht="27" thickTop="1" thickBot="1">
      <c r="A58" s="445" t="s">
        <v>652</v>
      </c>
      <c r="B58" s="442" t="s">
        <v>609</v>
      </c>
      <c r="C58" s="441" t="s">
        <v>1679</v>
      </c>
      <c r="D58" s="441" t="s">
        <v>444</v>
      </c>
      <c r="E58" s="441" t="s">
        <v>444</v>
      </c>
      <c r="F58" s="441" t="s">
        <v>444</v>
      </c>
      <c r="G58" s="441" t="s">
        <v>444</v>
      </c>
      <c r="H58" s="491" t="s">
        <v>1679</v>
      </c>
      <c r="I58" s="441" t="s">
        <v>444</v>
      </c>
      <c r="J58" s="441" t="s">
        <v>444</v>
      </c>
      <c r="K58" s="441" t="s">
        <v>444</v>
      </c>
      <c r="L58" s="499" t="s">
        <v>444</v>
      </c>
    </row>
    <row r="59" spans="1:12" s="160" customFormat="1" ht="27" thickTop="1" thickBot="1">
      <c r="A59" s="445" t="s">
        <v>653</v>
      </c>
      <c r="B59" s="442" t="s">
        <v>612</v>
      </c>
      <c r="C59" s="441" t="s">
        <v>1680</v>
      </c>
      <c r="D59" s="441" t="s">
        <v>444</v>
      </c>
      <c r="E59" s="441" t="s">
        <v>444</v>
      </c>
      <c r="F59" s="441" t="s">
        <v>444</v>
      </c>
      <c r="G59" s="441" t="s">
        <v>444</v>
      </c>
      <c r="H59" s="441" t="s">
        <v>444</v>
      </c>
      <c r="I59" s="491" t="s">
        <v>1680</v>
      </c>
      <c r="J59" s="441" t="s">
        <v>444</v>
      </c>
      <c r="K59" s="441" t="s">
        <v>444</v>
      </c>
      <c r="L59" s="499" t="s">
        <v>444</v>
      </c>
    </row>
    <row r="60" spans="1:12" s="160" customFormat="1" ht="27" thickTop="1" thickBot="1">
      <c r="A60" s="445" t="s">
        <v>654</v>
      </c>
      <c r="B60" s="442" t="s">
        <v>615</v>
      </c>
      <c r="C60" s="441" t="s">
        <v>1681</v>
      </c>
      <c r="D60" s="441" t="s">
        <v>444</v>
      </c>
      <c r="E60" s="441" t="s">
        <v>444</v>
      </c>
      <c r="F60" s="441" t="s">
        <v>444</v>
      </c>
      <c r="G60" s="441" t="s">
        <v>444</v>
      </c>
      <c r="H60" s="441" t="s">
        <v>444</v>
      </c>
      <c r="I60" s="491" t="s">
        <v>1681</v>
      </c>
      <c r="J60" s="441" t="s">
        <v>444</v>
      </c>
      <c r="K60" s="441" t="s">
        <v>444</v>
      </c>
      <c r="L60" s="499" t="s">
        <v>444</v>
      </c>
    </row>
    <row r="61" spans="1:12" s="160" customFormat="1" ht="39.75" thickTop="1" thickBot="1">
      <c r="A61" s="445" t="s">
        <v>1181</v>
      </c>
      <c r="B61" s="442" t="s">
        <v>624</v>
      </c>
      <c r="C61" s="441" t="s">
        <v>1682</v>
      </c>
      <c r="D61" s="441" t="s">
        <v>444</v>
      </c>
      <c r="E61" s="441" t="s">
        <v>444</v>
      </c>
      <c r="F61" s="441" t="s">
        <v>444</v>
      </c>
      <c r="G61" s="441" t="s">
        <v>444</v>
      </c>
      <c r="H61" s="441" t="s">
        <v>444</v>
      </c>
      <c r="I61" s="491" t="s">
        <v>1682</v>
      </c>
      <c r="J61" s="441" t="s">
        <v>444</v>
      </c>
      <c r="K61" s="441" t="s">
        <v>444</v>
      </c>
      <c r="L61" s="499" t="s">
        <v>444</v>
      </c>
    </row>
    <row r="62" spans="1:12" s="160" customFormat="1" ht="27" thickTop="1" thickBot="1">
      <c r="A62" s="445" t="s">
        <v>1182</v>
      </c>
      <c r="B62" s="442" t="s">
        <v>627</v>
      </c>
      <c r="C62" s="441" t="s">
        <v>1683</v>
      </c>
      <c r="D62" s="441" t="s">
        <v>444</v>
      </c>
      <c r="E62" s="441" t="s">
        <v>444</v>
      </c>
      <c r="F62" s="441" t="s">
        <v>444</v>
      </c>
      <c r="G62" s="441" t="s">
        <v>444</v>
      </c>
      <c r="H62" s="441" t="s">
        <v>444</v>
      </c>
      <c r="I62" s="491" t="s">
        <v>1683</v>
      </c>
      <c r="J62" s="441" t="s">
        <v>444</v>
      </c>
      <c r="K62" s="441" t="s">
        <v>444</v>
      </c>
      <c r="L62" s="499" t="s">
        <v>444</v>
      </c>
    </row>
    <row r="63" spans="1:12" ht="27" thickTop="1" thickBot="1">
      <c r="A63" s="274" t="s">
        <v>655</v>
      </c>
      <c r="B63" s="255" t="s">
        <v>34</v>
      </c>
      <c r="C63" s="256" t="s">
        <v>1684</v>
      </c>
      <c r="D63" s="256" t="s">
        <v>444</v>
      </c>
      <c r="E63" s="256" t="s">
        <v>444</v>
      </c>
      <c r="F63" s="256" t="s">
        <v>444</v>
      </c>
      <c r="G63" s="256" t="s">
        <v>444</v>
      </c>
      <c r="H63" s="256" t="s">
        <v>444</v>
      </c>
      <c r="I63" s="272" t="s">
        <v>1685</v>
      </c>
      <c r="J63" s="272" t="s">
        <v>1686</v>
      </c>
      <c r="K63" s="272" t="s">
        <v>1687</v>
      </c>
      <c r="L63" s="498" t="s">
        <v>444</v>
      </c>
    </row>
    <row r="64" spans="1:12" s="160" customFormat="1" ht="65.25" thickTop="1" thickBot="1">
      <c r="A64" s="445" t="s">
        <v>656</v>
      </c>
      <c r="B64" s="442" t="s">
        <v>207</v>
      </c>
      <c r="C64" s="441" t="s">
        <v>1688</v>
      </c>
      <c r="D64" s="441" t="s">
        <v>444</v>
      </c>
      <c r="E64" s="441" t="s">
        <v>444</v>
      </c>
      <c r="F64" s="441" t="s">
        <v>444</v>
      </c>
      <c r="G64" s="441" t="s">
        <v>444</v>
      </c>
      <c r="H64" s="441" t="s">
        <v>444</v>
      </c>
      <c r="I64" s="441" t="s">
        <v>444</v>
      </c>
      <c r="J64" s="491" t="s">
        <v>1688</v>
      </c>
      <c r="K64" s="441" t="s">
        <v>444</v>
      </c>
      <c r="L64" s="499" t="s">
        <v>444</v>
      </c>
    </row>
    <row r="65" spans="1:12" s="160" customFormat="1" ht="39.75" thickTop="1" thickBot="1">
      <c r="A65" s="445" t="s">
        <v>657</v>
      </c>
      <c r="B65" s="442" t="s">
        <v>659</v>
      </c>
      <c r="C65" s="441" t="s">
        <v>1689</v>
      </c>
      <c r="D65" s="441" t="s">
        <v>444</v>
      </c>
      <c r="E65" s="441" t="s">
        <v>444</v>
      </c>
      <c r="F65" s="441" t="s">
        <v>444</v>
      </c>
      <c r="G65" s="441" t="s">
        <v>444</v>
      </c>
      <c r="H65" s="441" t="s">
        <v>444</v>
      </c>
      <c r="I65" s="491" t="s">
        <v>1690</v>
      </c>
      <c r="J65" s="491" t="s">
        <v>1690</v>
      </c>
      <c r="K65" s="441" t="s">
        <v>444</v>
      </c>
      <c r="L65" s="499" t="s">
        <v>444</v>
      </c>
    </row>
    <row r="66" spans="1:12" s="160" customFormat="1" ht="27" thickTop="1" thickBot="1">
      <c r="A66" s="445" t="s">
        <v>660</v>
      </c>
      <c r="B66" s="442" t="s">
        <v>662</v>
      </c>
      <c r="C66" s="441" t="s">
        <v>1691</v>
      </c>
      <c r="D66" s="441" t="s">
        <v>444</v>
      </c>
      <c r="E66" s="441" t="s">
        <v>444</v>
      </c>
      <c r="F66" s="441" t="s">
        <v>444</v>
      </c>
      <c r="G66" s="441" t="s">
        <v>444</v>
      </c>
      <c r="H66" s="441" t="s">
        <v>444</v>
      </c>
      <c r="I66" s="441" t="s">
        <v>444</v>
      </c>
      <c r="J66" s="441" t="s">
        <v>444</v>
      </c>
      <c r="K66" s="491" t="s">
        <v>1691</v>
      </c>
      <c r="L66" s="499" t="s">
        <v>444</v>
      </c>
    </row>
    <row r="67" spans="1:12" s="160" customFormat="1" ht="39.75" thickTop="1" thickBot="1">
      <c r="A67" s="445" t="s">
        <v>663</v>
      </c>
      <c r="B67" s="442" t="s">
        <v>665</v>
      </c>
      <c r="C67" s="441" t="s">
        <v>1692</v>
      </c>
      <c r="D67" s="441" t="s">
        <v>444</v>
      </c>
      <c r="E67" s="441" t="s">
        <v>444</v>
      </c>
      <c r="F67" s="441" t="s">
        <v>444</v>
      </c>
      <c r="G67" s="441" t="s">
        <v>444</v>
      </c>
      <c r="H67" s="441" t="s">
        <v>444</v>
      </c>
      <c r="I67" s="491" t="s">
        <v>1692</v>
      </c>
      <c r="J67" s="441" t="s">
        <v>444</v>
      </c>
      <c r="K67" s="441" t="s">
        <v>444</v>
      </c>
      <c r="L67" s="499" t="s">
        <v>444</v>
      </c>
    </row>
    <row r="68" spans="1:12" s="160" customFormat="1" ht="52.5" thickTop="1" thickBot="1">
      <c r="A68" s="445" t="s">
        <v>666</v>
      </c>
      <c r="B68" s="442" t="s">
        <v>668</v>
      </c>
      <c r="C68" s="441" t="s">
        <v>1693</v>
      </c>
      <c r="D68" s="441" t="s">
        <v>444</v>
      </c>
      <c r="E68" s="441" t="s">
        <v>444</v>
      </c>
      <c r="F68" s="441" t="s">
        <v>444</v>
      </c>
      <c r="G68" s="441" t="s">
        <v>444</v>
      </c>
      <c r="H68" s="441" t="s">
        <v>444</v>
      </c>
      <c r="I68" s="491" t="s">
        <v>1693</v>
      </c>
      <c r="J68" s="441" t="s">
        <v>444</v>
      </c>
      <c r="K68" s="441" t="s">
        <v>444</v>
      </c>
      <c r="L68" s="499" t="s">
        <v>444</v>
      </c>
    </row>
    <row r="69" spans="1:12" s="160" customFormat="1" ht="27" thickTop="1" thickBot="1">
      <c r="A69" s="445" t="s">
        <v>669</v>
      </c>
      <c r="B69" s="442" t="s">
        <v>671</v>
      </c>
      <c r="C69" s="441" t="s">
        <v>1694</v>
      </c>
      <c r="D69" s="441" t="s">
        <v>444</v>
      </c>
      <c r="E69" s="441" t="s">
        <v>444</v>
      </c>
      <c r="F69" s="441" t="s">
        <v>444</v>
      </c>
      <c r="G69" s="441" t="s">
        <v>444</v>
      </c>
      <c r="H69" s="441" t="s">
        <v>444</v>
      </c>
      <c r="I69" s="441" t="s">
        <v>444</v>
      </c>
      <c r="J69" s="491" t="s">
        <v>1694</v>
      </c>
      <c r="K69" s="441" t="s">
        <v>444</v>
      </c>
      <c r="L69" s="499" t="s">
        <v>444</v>
      </c>
    </row>
    <row r="70" spans="1:12" s="160" customFormat="1" ht="27" thickTop="1" thickBot="1">
      <c r="A70" s="445" t="s">
        <v>672</v>
      </c>
      <c r="B70" s="442" t="s">
        <v>674</v>
      </c>
      <c r="C70" s="441" t="s">
        <v>1695</v>
      </c>
      <c r="D70" s="441" t="s">
        <v>444</v>
      </c>
      <c r="E70" s="441" t="s">
        <v>444</v>
      </c>
      <c r="F70" s="441" t="s">
        <v>444</v>
      </c>
      <c r="G70" s="441" t="s">
        <v>444</v>
      </c>
      <c r="H70" s="441" t="s">
        <v>444</v>
      </c>
      <c r="I70" s="441" t="s">
        <v>444</v>
      </c>
      <c r="J70" s="441" t="s">
        <v>444</v>
      </c>
      <c r="K70" s="491" t="s">
        <v>1695</v>
      </c>
      <c r="L70" s="499" t="s">
        <v>444</v>
      </c>
    </row>
    <row r="71" spans="1:12" s="160" customFormat="1" ht="27" thickTop="1" thickBot="1">
      <c r="A71" s="445" t="s">
        <v>1553</v>
      </c>
      <c r="B71" s="442" t="s">
        <v>1555</v>
      </c>
      <c r="C71" s="441" t="s">
        <v>1696</v>
      </c>
      <c r="D71" s="441" t="s">
        <v>444</v>
      </c>
      <c r="E71" s="441" t="s">
        <v>444</v>
      </c>
      <c r="F71" s="441" t="s">
        <v>444</v>
      </c>
      <c r="G71" s="441" t="s">
        <v>444</v>
      </c>
      <c r="H71" s="441" t="s">
        <v>444</v>
      </c>
      <c r="I71" s="441" t="s">
        <v>444</v>
      </c>
      <c r="J71" s="441" t="s">
        <v>444</v>
      </c>
      <c r="K71" s="491" t="s">
        <v>1696</v>
      </c>
      <c r="L71" s="499" t="s">
        <v>444</v>
      </c>
    </row>
    <row r="72" spans="1:12" ht="27" thickTop="1" thickBot="1">
      <c r="A72" s="274" t="s">
        <v>675</v>
      </c>
      <c r="B72" s="255" t="s">
        <v>676</v>
      </c>
      <c r="C72" s="256" t="s">
        <v>1697</v>
      </c>
      <c r="D72" s="256" t="s">
        <v>444</v>
      </c>
      <c r="E72" s="256" t="s">
        <v>444</v>
      </c>
      <c r="F72" s="256" t="s">
        <v>444</v>
      </c>
      <c r="G72" s="256" t="s">
        <v>444</v>
      </c>
      <c r="H72" s="272" t="s">
        <v>1698</v>
      </c>
      <c r="I72" s="272" t="s">
        <v>1699</v>
      </c>
      <c r="J72" s="272" t="s">
        <v>1700</v>
      </c>
      <c r="K72" s="272" t="s">
        <v>1701</v>
      </c>
      <c r="L72" s="500" t="s">
        <v>1702</v>
      </c>
    </row>
    <row r="73" spans="1:12" s="160" customFormat="1" ht="39.75" thickTop="1" thickBot="1">
      <c r="A73" s="445" t="s">
        <v>677</v>
      </c>
      <c r="B73" s="442" t="s">
        <v>680</v>
      </c>
      <c r="C73" s="441" t="s">
        <v>1703</v>
      </c>
      <c r="D73" s="441" t="s">
        <v>444</v>
      </c>
      <c r="E73" s="441" t="s">
        <v>444</v>
      </c>
      <c r="F73" s="441" t="s">
        <v>444</v>
      </c>
      <c r="G73" s="441" t="s">
        <v>444</v>
      </c>
      <c r="H73" s="491" t="s">
        <v>1703</v>
      </c>
      <c r="I73" s="441" t="s">
        <v>444</v>
      </c>
      <c r="J73" s="441" t="s">
        <v>444</v>
      </c>
      <c r="K73" s="441" t="s">
        <v>444</v>
      </c>
      <c r="L73" s="499" t="s">
        <v>444</v>
      </c>
    </row>
    <row r="74" spans="1:12" s="160" customFormat="1" ht="39.75" thickTop="1" thickBot="1">
      <c r="A74" s="445" t="s">
        <v>678</v>
      </c>
      <c r="B74" s="442" t="s">
        <v>1557</v>
      </c>
      <c r="C74" s="441" t="s">
        <v>1704</v>
      </c>
      <c r="D74" s="441" t="s">
        <v>444</v>
      </c>
      <c r="E74" s="441" t="s">
        <v>444</v>
      </c>
      <c r="F74" s="441" t="s">
        <v>444</v>
      </c>
      <c r="G74" s="441" t="s">
        <v>444</v>
      </c>
      <c r="H74" s="491" t="s">
        <v>1704</v>
      </c>
      <c r="I74" s="441" t="s">
        <v>444</v>
      </c>
      <c r="J74" s="441" t="s">
        <v>444</v>
      </c>
      <c r="K74" s="441" t="s">
        <v>444</v>
      </c>
      <c r="L74" s="499" t="s">
        <v>444</v>
      </c>
    </row>
    <row r="75" spans="1:12" s="160" customFormat="1" ht="39.75" thickTop="1" thickBot="1">
      <c r="A75" s="445" t="s">
        <v>681</v>
      </c>
      <c r="B75" s="442" t="s">
        <v>1559</v>
      </c>
      <c r="C75" s="441" t="s">
        <v>1705</v>
      </c>
      <c r="D75" s="441" t="s">
        <v>444</v>
      </c>
      <c r="E75" s="441" t="s">
        <v>444</v>
      </c>
      <c r="F75" s="441" t="s">
        <v>444</v>
      </c>
      <c r="G75" s="441" t="s">
        <v>444</v>
      </c>
      <c r="H75" s="441" t="s">
        <v>444</v>
      </c>
      <c r="I75" s="491" t="s">
        <v>1705</v>
      </c>
      <c r="J75" s="441" t="s">
        <v>444</v>
      </c>
      <c r="K75" s="441" t="s">
        <v>444</v>
      </c>
      <c r="L75" s="499" t="s">
        <v>444</v>
      </c>
    </row>
    <row r="76" spans="1:12" s="160" customFormat="1" ht="39.75" thickTop="1" thickBot="1">
      <c r="A76" s="445" t="s">
        <v>682</v>
      </c>
      <c r="B76" s="442" t="s">
        <v>684</v>
      </c>
      <c r="C76" s="441" t="s">
        <v>1706</v>
      </c>
      <c r="D76" s="441" t="s">
        <v>444</v>
      </c>
      <c r="E76" s="441" t="s">
        <v>444</v>
      </c>
      <c r="F76" s="441" t="s">
        <v>444</v>
      </c>
      <c r="G76" s="441" t="s">
        <v>444</v>
      </c>
      <c r="H76" s="491" t="s">
        <v>1706</v>
      </c>
      <c r="I76" s="441" t="s">
        <v>444</v>
      </c>
      <c r="J76" s="441" t="s">
        <v>444</v>
      </c>
      <c r="K76" s="441" t="s">
        <v>444</v>
      </c>
      <c r="L76" s="499" t="s">
        <v>444</v>
      </c>
    </row>
    <row r="77" spans="1:12" s="160" customFormat="1" ht="52.5" thickTop="1" thickBot="1">
      <c r="A77" s="445" t="s">
        <v>685</v>
      </c>
      <c r="B77" s="442" t="s">
        <v>688</v>
      </c>
      <c r="C77" s="441" t="s">
        <v>1707</v>
      </c>
      <c r="D77" s="441" t="s">
        <v>444</v>
      </c>
      <c r="E77" s="441" t="s">
        <v>444</v>
      </c>
      <c r="F77" s="441" t="s">
        <v>444</v>
      </c>
      <c r="G77" s="441" t="s">
        <v>444</v>
      </c>
      <c r="H77" s="491" t="s">
        <v>1708</v>
      </c>
      <c r="I77" s="491" t="s">
        <v>1708</v>
      </c>
      <c r="J77" s="441" t="s">
        <v>444</v>
      </c>
      <c r="K77" s="441" t="s">
        <v>444</v>
      </c>
      <c r="L77" s="499" t="s">
        <v>444</v>
      </c>
    </row>
    <row r="78" spans="1:12" s="160" customFormat="1" ht="27" thickTop="1" thickBot="1">
      <c r="A78" s="445" t="s">
        <v>686</v>
      </c>
      <c r="B78" s="442" t="s">
        <v>691</v>
      </c>
      <c r="C78" s="441" t="s">
        <v>1709</v>
      </c>
      <c r="D78" s="441" t="s">
        <v>444</v>
      </c>
      <c r="E78" s="441" t="s">
        <v>444</v>
      </c>
      <c r="F78" s="441" t="s">
        <v>444</v>
      </c>
      <c r="G78" s="441" t="s">
        <v>444</v>
      </c>
      <c r="H78" s="491" t="s">
        <v>1710</v>
      </c>
      <c r="I78" s="491" t="s">
        <v>1711</v>
      </c>
      <c r="J78" s="491" t="s">
        <v>1711</v>
      </c>
      <c r="K78" s="441" t="s">
        <v>444</v>
      </c>
      <c r="L78" s="499" t="s">
        <v>444</v>
      </c>
    </row>
    <row r="79" spans="1:12" s="160" customFormat="1" ht="27" thickTop="1" thickBot="1">
      <c r="A79" s="445" t="s">
        <v>689</v>
      </c>
      <c r="B79" s="442" t="s">
        <v>694</v>
      </c>
      <c r="C79" s="441" t="s">
        <v>1712</v>
      </c>
      <c r="D79" s="441" t="s">
        <v>444</v>
      </c>
      <c r="E79" s="441" t="s">
        <v>444</v>
      </c>
      <c r="F79" s="441" t="s">
        <v>444</v>
      </c>
      <c r="G79" s="441" t="s">
        <v>444</v>
      </c>
      <c r="H79" s="441" t="s">
        <v>444</v>
      </c>
      <c r="I79" s="441" t="s">
        <v>444</v>
      </c>
      <c r="J79" s="491" t="s">
        <v>1712</v>
      </c>
      <c r="K79" s="441" t="s">
        <v>444</v>
      </c>
      <c r="L79" s="499" t="s">
        <v>444</v>
      </c>
    </row>
    <row r="80" spans="1:12" s="160" customFormat="1" ht="27" thickTop="1" thickBot="1">
      <c r="A80" s="445" t="s">
        <v>692</v>
      </c>
      <c r="B80" s="442" t="s">
        <v>697</v>
      </c>
      <c r="C80" s="441" t="s">
        <v>1713</v>
      </c>
      <c r="D80" s="441" t="s">
        <v>444</v>
      </c>
      <c r="E80" s="441" t="s">
        <v>444</v>
      </c>
      <c r="F80" s="441" t="s">
        <v>444</v>
      </c>
      <c r="G80" s="441" t="s">
        <v>444</v>
      </c>
      <c r="H80" s="441" t="s">
        <v>444</v>
      </c>
      <c r="I80" s="441" t="s">
        <v>444</v>
      </c>
      <c r="J80" s="491" t="s">
        <v>1713</v>
      </c>
      <c r="K80" s="441" t="s">
        <v>444</v>
      </c>
      <c r="L80" s="499" t="s">
        <v>444</v>
      </c>
    </row>
    <row r="81" spans="1:12" s="160" customFormat="1" ht="39.75" thickTop="1" thickBot="1">
      <c r="A81" s="445" t="s">
        <v>695</v>
      </c>
      <c r="B81" s="442" t="s">
        <v>700</v>
      </c>
      <c r="C81" s="441" t="s">
        <v>1714</v>
      </c>
      <c r="D81" s="441" t="s">
        <v>444</v>
      </c>
      <c r="E81" s="441" t="s">
        <v>444</v>
      </c>
      <c r="F81" s="441" t="s">
        <v>444</v>
      </c>
      <c r="G81" s="441" t="s">
        <v>444</v>
      </c>
      <c r="H81" s="441" t="s">
        <v>444</v>
      </c>
      <c r="I81" s="441" t="s">
        <v>444</v>
      </c>
      <c r="J81" s="491" t="s">
        <v>1715</v>
      </c>
      <c r="K81" s="491" t="s">
        <v>1715</v>
      </c>
      <c r="L81" s="499" t="s">
        <v>444</v>
      </c>
    </row>
    <row r="82" spans="1:12" s="160" customFormat="1" ht="52.5" thickTop="1" thickBot="1">
      <c r="A82" s="445" t="s">
        <v>698</v>
      </c>
      <c r="B82" s="442" t="s">
        <v>703</v>
      </c>
      <c r="C82" s="441" t="s">
        <v>1716</v>
      </c>
      <c r="D82" s="441" t="s">
        <v>444</v>
      </c>
      <c r="E82" s="441" t="s">
        <v>444</v>
      </c>
      <c r="F82" s="441" t="s">
        <v>444</v>
      </c>
      <c r="G82" s="441" t="s">
        <v>444</v>
      </c>
      <c r="H82" s="441" t="s">
        <v>444</v>
      </c>
      <c r="I82" s="441" t="s">
        <v>444</v>
      </c>
      <c r="J82" s="441" t="s">
        <v>444</v>
      </c>
      <c r="K82" s="491" t="s">
        <v>1716</v>
      </c>
      <c r="L82" s="499" t="s">
        <v>444</v>
      </c>
    </row>
    <row r="83" spans="1:12" s="160" customFormat="1" ht="27" thickTop="1" thickBot="1">
      <c r="A83" s="445" t="s">
        <v>701</v>
      </c>
      <c r="B83" s="442" t="s">
        <v>706</v>
      </c>
      <c r="C83" s="441" t="s">
        <v>1717</v>
      </c>
      <c r="D83" s="441" t="s">
        <v>444</v>
      </c>
      <c r="E83" s="441" t="s">
        <v>444</v>
      </c>
      <c r="F83" s="441" t="s">
        <v>444</v>
      </c>
      <c r="G83" s="441" t="s">
        <v>444</v>
      </c>
      <c r="H83" s="441" t="s">
        <v>444</v>
      </c>
      <c r="I83" s="441" t="s">
        <v>444</v>
      </c>
      <c r="J83" s="441" t="s">
        <v>444</v>
      </c>
      <c r="K83" s="491" t="s">
        <v>1717</v>
      </c>
      <c r="L83" s="499" t="s">
        <v>444</v>
      </c>
    </row>
    <row r="84" spans="1:12" s="160" customFormat="1" ht="27" thickTop="1" thickBot="1">
      <c r="A84" s="445" t="s">
        <v>704</v>
      </c>
      <c r="B84" s="442" t="s">
        <v>708</v>
      </c>
      <c r="C84" s="441" t="s">
        <v>1718</v>
      </c>
      <c r="D84" s="441" t="s">
        <v>444</v>
      </c>
      <c r="E84" s="441" t="s">
        <v>444</v>
      </c>
      <c r="F84" s="441" t="s">
        <v>444</v>
      </c>
      <c r="G84" s="441" t="s">
        <v>444</v>
      </c>
      <c r="H84" s="441" t="s">
        <v>444</v>
      </c>
      <c r="I84" s="441" t="s">
        <v>444</v>
      </c>
      <c r="J84" s="441" t="s">
        <v>444</v>
      </c>
      <c r="K84" s="441" t="s">
        <v>444</v>
      </c>
      <c r="L84" s="497" t="s">
        <v>1718</v>
      </c>
    </row>
    <row r="85" spans="1:12" ht="27" thickTop="1" thickBot="1">
      <c r="A85" s="274" t="s">
        <v>709</v>
      </c>
      <c r="B85" s="255" t="s">
        <v>48</v>
      </c>
      <c r="C85" s="256" t="s">
        <v>1719</v>
      </c>
      <c r="D85" s="256" t="s">
        <v>444</v>
      </c>
      <c r="E85" s="256" t="s">
        <v>444</v>
      </c>
      <c r="F85" s="256" t="s">
        <v>444</v>
      </c>
      <c r="G85" s="256" t="s">
        <v>444</v>
      </c>
      <c r="H85" s="272" t="s">
        <v>1720</v>
      </c>
      <c r="I85" s="272" t="s">
        <v>1721</v>
      </c>
      <c r="J85" s="272" t="s">
        <v>1722</v>
      </c>
      <c r="K85" s="272" t="s">
        <v>1723</v>
      </c>
      <c r="L85" s="498" t="s">
        <v>444</v>
      </c>
    </row>
    <row r="86" spans="1:12" s="160" customFormat="1" ht="52.5" thickTop="1" thickBot="1">
      <c r="A86" s="445" t="s">
        <v>710</v>
      </c>
      <c r="B86" s="442" t="s">
        <v>712</v>
      </c>
      <c r="C86" s="441" t="s">
        <v>1724</v>
      </c>
      <c r="D86" s="441" t="s">
        <v>444</v>
      </c>
      <c r="E86" s="441" t="s">
        <v>444</v>
      </c>
      <c r="F86" s="441" t="s">
        <v>444</v>
      </c>
      <c r="G86" s="441" t="s">
        <v>444</v>
      </c>
      <c r="H86" s="441" t="s">
        <v>444</v>
      </c>
      <c r="I86" s="491" t="s">
        <v>1725</v>
      </c>
      <c r="J86" s="491" t="s">
        <v>1725</v>
      </c>
      <c r="K86" s="441" t="s">
        <v>444</v>
      </c>
      <c r="L86" s="499" t="s">
        <v>444</v>
      </c>
    </row>
    <row r="87" spans="1:12" s="160" customFormat="1" ht="27" thickTop="1" thickBot="1">
      <c r="A87" s="445" t="s">
        <v>713</v>
      </c>
      <c r="B87" s="442" t="s">
        <v>715</v>
      </c>
      <c r="C87" s="441" t="s">
        <v>1726</v>
      </c>
      <c r="D87" s="441" t="s">
        <v>444</v>
      </c>
      <c r="E87" s="441" t="s">
        <v>444</v>
      </c>
      <c r="F87" s="441" t="s">
        <v>444</v>
      </c>
      <c r="G87" s="441" t="s">
        <v>444</v>
      </c>
      <c r="H87" s="441" t="s">
        <v>444</v>
      </c>
      <c r="I87" s="491" t="s">
        <v>1727</v>
      </c>
      <c r="J87" s="491" t="s">
        <v>1728</v>
      </c>
      <c r="K87" s="491" t="s">
        <v>1727</v>
      </c>
      <c r="L87" s="499" t="s">
        <v>444</v>
      </c>
    </row>
    <row r="88" spans="1:12" s="160" customFormat="1" ht="27" thickTop="1" thickBot="1">
      <c r="A88" s="445" t="s">
        <v>716</v>
      </c>
      <c r="B88" s="442" t="s">
        <v>718</v>
      </c>
      <c r="C88" s="441" t="s">
        <v>1729</v>
      </c>
      <c r="D88" s="441" t="s">
        <v>444</v>
      </c>
      <c r="E88" s="441" t="s">
        <v>444</v>
      </c>
      <c r="F88" s="441" t="s">
        <v>444</v>
      </c>
      <c r="G88" s="441" t="s">
        <v>444</v>
      </c>
      <c r="H88" s="441" t="s">
        <v>444</v>
      </c>
      <c r="I88" s="491" t="s">
        <v>1730</v>
      </c>
      <c r="J88" s="491" t="s">
        <v>1731</v>
      </c>
      <c r="K88" s="491" t="s">
        <v>1730</v>
      </c>
      <c r="L88" s="499" t="s">
        <v>444</v>
      </c>
    </row>
    <row r="89" spans="1:12" s="160" customFormat="1" ht="52.5" thickTop="1" thickBot="1">
      <c r="A89" s="445" t="s">
        <v>719</v>
      </c>
      <c r="B89" s="442" t="s">
        <v>721</v>
      </c>
      <c r="C89" s="441" t="s">
        <v>1732</v>
      </c>
      <c r="D89" s="441" t="s">
        <v>444</v>
      </c>
      <c r="E89" s="441" t="s">
        <v>444</v>
      </c>
      <c r="F89" s="441" t="s">
        <v>444</v>
      </c>
      <c r="G89" s="441" t="s">
        <v>444</v>
      </c>
      <c r="H89" s="491" t="s">
        <v>1732</v>
      </c>
      <c r="I89" s="441" t="s">
        <v>444</v>
      </c>
      <c r="J89" s="441" t="s">
        <v>444</v>
      </c>
      <c r="K89" s="441" t="s">
        <v>444</v>
      </c>
      <c r="L89" s="499" t="s">
        <v>444</v>
      </c>
    </row>
    <row r="90" spans="1:12" s="160" customFormat="1" ht="39.75" thickTop="1" thickBot="1">
      <c r="A90" s="445" t="s">
        <v>722</v>
      </c>
      <c r="B90" s="442" t="s">
        <v>1560</v>
      </c>
      <c r="C90" s="441" t="s">
        <v>1733</v>
      </c>
      <c r="D90" s="441" t="s">
        <v>444</v>
      </c>
      <c r="E90" s="441" t="s">
        <v>444</v>
      </c>
      <c r="F90" s="441" t="s">
        <v>444</v>
      </c>
      <c r="G90" s="441" t="s">
        <v>444</v>
      </c>
      <c r="H90" s="491" t="s">
        <v>1733</v>
      </c>
      <c r="I90" s="441" t="s">
        <v>444</v>
      </c>
      <c r="J90" s="441" t="s">
        <v>444</v>
      </c>
      <c r="K90" s="441" t="s">
        <v>444</v>
      </c>
      <c r="L90" s="499" t="s">
        <v>444</v>
      </c>
    </row>
    <row r="91" spans="1:12" s="160" customFormat="1" ht="27" thickTop="1" thickBot="1">
      <c r="A91" s="445" t="s">
        <v>724</v>
      </c>
      <c r="B91" s="442" t="s">
        <v>715</v>
      </c>
      <c r="C91" s="441" t="s">
        <v>1734</v>
      </c>
      <c r="D91" s="441" t="s">
        <v>444</v>
      </c>
      <c r="E91" s="441" t="s">
        <v>444</v>
      </c>
      <c r="F91" s="441" t="s">
        <v>444</v>
      </c>
      <c r="G91" s="441" t="s">
        <v>444</v>
      </c>
      <c r="H91" s="441" t="s">
        <v>444</v>
      </c>
      <c r="I91" s="491" t="s">
        <v>1735</v>
      </c>
      <c r="J91" s="491" t="s">
        <v>1735</v>
      </c>
      <c r="K91" s="441" t="s">
        <v>444</v>
      </c>
      <c r="L91" s="499" t="s">
        <v>444</v>
      </c>
    </row>
    <row r="92" spans="1:12" s="160" customFormat="1" ht="27" thickTop="1" thickBot="1">
      <c r="A92" s="445" t="s">
        <v>727</v>
      </c>
      <c r="B92" s="442" t="s">
        <v>718</v>
      </c>
      <c r="C92" s="441" t="s">
        <v>1736</v>
      </c>
      <c r="D92" s="441" t="s">
        <v>444</v>
      </c>
      <c r="E92" s="441" t="s">
        <v>444</v>
      </c>
      <c r="F92" s="441" t="s">
        <v>444</v>
      </c>
      <c r="G92" s="441" t="s">
        <v>444</v>
      </c>
      <c r="H92" s="441" t="s">
        <v>444</v>
      </c>
      <c r="I92" s="491" t="s">
        <v>1737</v>
      </c>
      <c r="J92" s="491" t="s">
        <v>1737</v>
      </c>
      <c r="K92" s="441" t="s">
        <v>444</v>
      </c>
      <c r="L92" s="499" t="s">
        <v>444</v>
      </c>
    </row>
    <row r="93" spans="1:12" s="160" customFormat="1" ht="39.75" thickTop="1" thickBot="1">
      <c r="A93" s="445" t="s">
        <v>729</v>
      </c>
      <c r="B93" s="442" t="s">
        <v>726</v>
      </c>
      <c r="C93" s="441" t="s">
        <v>1738</v>
      </c>
      <c r="D93" s="441" t="s">
        <v>444</v>
      </c>
      <c r="E93" s="441" t="s">
        <v>444</v>
      </c>
      <c r="F93" s="441" t="s">
        <v>444</v>
      </c>
      <c r="G93" s="441" t="s">
        <v>444</v>
      </c>
      <c r="H93" s="441" t="s">
        <v>444</v>
      </c>
      <c r="I93" s="441" t="s">
        <v>444</v>
      </c>
      <c r="J93" s="491" t="s">
        <v>1739</v>
      </c>
      <c r="K93" s="491" t="s">
        <v>1739</v>
      </c>
      <c r="L93" s="499" t="s">
        <v>444</v>
      </c>
    </row>
    <row r="94" spans="1:12" s="160" customFormat="1" ht="52.5" thickTop="1" thickBot="1">
      <c r="A94" s="445" t="s">
        <v>730</v>
      </c>
      <c r="B94" s="442" t="s">
        <v>484</v>
      </c>
      <c r="C94" s="441" t="s">
        <v>1740</v>
      </c>
      <c r="D94" s="441" t="s">
        <v>444</v>
      </c>
      <c r="E94" s="441" t="s">
        <v>444</v>
      </c>
      <c r="F94" s="441" t="s">
        <v>444</v>
      </c>
      <c r="G94" s="441" t="s">
        <v>444</v>
      </c>
      <c r="H94" s="441" t="s">
        <v>444</v>
      </c>
      <c r="I94" s="441" t="s">
        <v>444</v>
      </c>
      <c r="J94" s="491" t="s">
        <v>1741</v>
      </c>
      <c r="K94" s="491" t="s">
        <v>1741</v>
      </c>
      <c r="L94" s="499" t="s">
        <v>444</v>
      </c>
    </row>
    <row r="95" spans="1:12" ht="27" thickTop="1" thickBot="1">
      <c r="A95" s="274" t="s">
        <v>731</v>
      </c>
      <c r="B95" s="255" t="s">
        <v>55</v>
      </c>
      <c r="C95" s="256" t="s">
        <v>1742</v>
      </c>
      <c r="D95" s="256" t="s">
        <v>444</v>
      </c>
      <c r="E95" s="256" t="s">
        <v>444</v>
      </c>
      <c r="F95" s="256" t="s">
        <v>444</v>
      </c>
      <c r="G95" s="256" t="s">
        <v>444</v>
      </c>
      <c r="H95" s="272" t="s">
        <v>1743</v>
      </c>
      <c r="I95" s="272" t="s">
        <v>1744</v>
      </c>
      <c r="J95" s="272" t="s">
        <v>1745</v>
      </c>
      <c r="K95" s="272" t="s">
        <v>1746</v>
      </c>
      <c r="L95" s="500" t="s">
        <v>1747</v>
      </c>
    </row>
    <row r="96" spans="1:12" s="160" customFormat="1" ht="52.5" thickTop="1" thickBot="1">
      <c r="A96" s="445" t="s">
        <v>732</v>
      </c>
      <c r="B96" s="442" t="s">
        <v>734</v>
      </c>
      <c r="C96" s="441" t="s">
        <v>1748</v>
      </c>
      <c r="D96" s="441" t="s">
        <v>444</v>
      </c>
      <c r="E96" s="441" t="s">
        <v>444</v>
      </c>
      <c r="F96" s="441" t="s">
        <v>444</v>
      </c>
      <c r="G96" s="441" t="s">
        <v>444</v>
      </c>
      <c r="H96" s="441" t="s">
        <v>444</v>
      </c>
      <c r="I96" s="491" t="s">
        <v>1749</v>
      </c>
      <c r="J96" s="491" t="s">
        <v>1750</v>
      </c>
      <c r="K96" s="491" t="s">
        <v>1749</v>
      </c>
      <c r="L96" s="499" t="s">
        <v>444</v>
      </c>
    </row>
    <row r="97" spans="1:12" s="160" customFormat="1" ht="39.75" thickTop="1" thickBot="1">
      <c r="A97" s="445" t="s">
        <v>735</v>
      </c>
      <c r="B97" s="442" t="s">
        <v>737</v>
      </c>
      <c r="C97" s="441" t="s">
        <v>1751</v>
      </c>
      <c r="D97" s="441" t="s">
        <v>444</v>
      </c>
      <c r="E97" s="441" t="s">
        <v>444</v>
      </c>
      <c r="F97" s="441" t="s">
        <v>444</v>
      </c>
      <c r="G97" s="441" t="s">
        <v>444</v>
      </c>
      <c r="H97" s="441" t="s">
        <v>444</v>
      </c>
      <c r="I97" s="491" t="s">
        <v>1752</v>
      </c>
      <c r="J97" s="491" t="s">
        <v>1753</v>
      </c>
      <c r="K97" s="491" t="s">
        <v>1752</v>
      </c>
      <c r="L97" s="499" t="s">
        <v>444</v>
      </c>
    </row>
    <row r="98" spans="1:12" s="160" customFormat="1" ht="27" thickTop="1" thickBot="1">
      <c r="A98" s="445" t="s">
        <v>738</v>
      </c>
      <c r="B98" s="442" t="s">
        <v>740</v>
      </c>
      <c r="C98" s="441" t="s">
        <v>1754</v>
      </c>
      <c r="D98" s="441" t="s">
        <v>444</v>
      </c>
      <c r="E98" s="441" t="s">
        <v>444</v>
      </c>
      <c r="F98" s="441" t="s">
        <v>444</v>
      </c>
      <c r="G98" s="441" t="s">
        <v>444</v>
      </c>
      <c r="H98" s="441" t="s">
        <v>444</v>
      </c>
      <c r="I98" s="441" t="s">
        <v>444</v>
      </c>
      <c r="J98" s="441" t="s">
        <v>444</v>
      </c>
      <c r="K98" s="441" t="s">
        <v>444</v>
      </c>
      <c r="L98" s="497" t="s">
        <v>1754</v>
      </c>
    </row>
    <row r="99" spans="1:12" s="160" customFormat="1" ht="39.75" thickTop="1" thickBot="1">
      <c r="A99" s="445" t="s">
        <v>741</v>
      </c>
      <c r="B99" s="442" t="s">
        <v>743</v>
      </c>
      <c r="C99" s="441" t="s">
        <v>1755</v>
      </c>
      <c r="D99" s="441" t="s">
        <v>444</v>
      </c>
      <c r="E99" s="441" t="s">
        <v>444</v>
      </c>
      <c r="F99" s="441" t="s">
        <v>444</v>
      </c>
      <c r="G99" s="441" t="s">
        <v>444</v>
      </c>
      <c r="H99" s="491" t="s">
        <v>1755</v>
      </c>
      <c r="I99" s="441" t="s">
        <v>444</v>
      </c>
      <c r="J99" s="441" t="s">
        <v>444</v>
      </c>
      <c r="K99" s="441" t="s">
        <v>444</v>
      </c>
      <c r="L99" s="499" t="s">
        <v>444</v>
      </c>
    </row>
    <row r="100" spans="1:12" s="160" customFormat="1" ht="27" thickTop="1" thickBot="1">
      <c r="A100" s="445" t="s">
        <v>744</v>
      </c>
      <c r="B100" s="442" t="s">
        <v>746</v>
      </c>
      <c r="C100" s="441" t="s">
        <v>1756</v>
      </c>
      <c r="D100" s="441" t="s">
        <v>444</v>
      </c>
      <c r="E100" s="441" t="s">
        <v>444</v>
      </c>
      <c r="F100" s="441" t="s">
        <v>444</v>
      </c>
      <c r="G100" s="441" t="s">
        <v>444</v>
      </c>
      <c r="H100" s="491" t="s">
        <v>1756</v>
      </c>
      <c r="I100" s="441" t="s">
        <v>444</v>
      </c>
      <c r="J100" s="441" t="s">
        <v>444</v>
      </c>
      <c r="K100" s="441" t="s">
        <v>444</v>
      </c>
      <c r="L100" s="499" t="s">
        <v>444</v>
      </c>
    </row>
    <row r="101" spans="1:12" s="160" customFormat="1" ht="65.25" thickTop="1" thickBot="1">
      <c r="A101" s="445" t="s">
        <v>747</v>
      </c>
      <c r="B101" s="442" t="s">
        <v>749</v>
      </c>
      <c r="C101" s="441" t="s">
        <v>1757</v>
      </c>
      <c r="D101" s="441" t="s">
        <v>444</v>
      </c>
      <c r="E101" s="441" t="s">
        <v>444</v>
      </c>
      <c r="F101" s="441" t="s">
        <v>444</v>
      </c>
      <c r="G101" s="441" t="s">
        <v>444</v>
      </c>
      <c r="H101" s="441" t="s">
        <v>444</v>
      </c>
      <c r="I101" s="441" t="s">
        <v>444</v>
      </c>
      <c r="J101" s="441" t="s">
        <v>444</v>
      </c>
      <c r="K101" s="441" t="s">
        <v>444</v>
      </c>
      <c r="L101" s="497" t="s">
        <v>1757</v>
      </c>
    </row>
    <row r="102" spans="1:12" s="160" customFormat="1" ht="39.75" thickTop="1" thickBot="1">
      <c r="A102" s="445" t="s">
        <v>750</v>
      </c>
      <c r="B102" s="442" t="s">
        <v>752</v>
      </c>
      <c r="C102" s="441" t="s">
        <v>1758</v>
      </c>
      <c r="D102" s="441" t="s">
        <v>444</v>
      </c>
      <c r="E102" s="441" t="s">
        <v>444</v>
      </c>
      <c r="F102" s="441" t="s">
        <v>444</v>
      </c>
      <c r="G102" s="441" t="s">
        <v>444</v>
      </c>
      <c r="H102" s="441" t="s">
        <v>444</v>
      </c>
      <c r="I102" s="441" t="s">
        <v>444</v>
      </c>
      <c r="J102" s="441" t="s">
        <v>444</v>
      </c>
      <c r="K102" s="441" t="s">
        <v>444</v>
      </c>
      <c r="L102" s="497" t="s">
        <v>1758</v>
      </c>
    </row>
    <row r="103" spans="1:12" s="160" customFormat="1" ht="39.75" thickTop="1" thickBot="1">
      <c r="A103" s="445" t="s">
        <v>753</v>
      </c>
      <c r="B103" s="442" t="s">
        <v>1562</v>
      </c>
      <c r="C103" s="441" t="s">
        <v>1759</v>
      </c>
      <c r="D103" s="441" t="s">
        <v>444</v>
      </c>
      <c r="E103" s="441" t="s">
        <v>444</v>
      </c>
      <c r="F103" s="441" t="s">
        <v>444</v>
      </c>
      <c r="G103" s="441" t="s">
        <v>444</v>
      </c>
      <c r="H103" s="441" t="s">
        <v>444</v>
      </c>
      <c r="I103" s="441" t="s">
        <v>444</v>
      </c>
      <c r="J103" s="441" t="s">
        <v>444</v>
      </c>
      <c r="K103" s="491" t="s">
        <v>1759</v>
      </c>
      <c r="L103" s="499" t="s">
        <v>444</v>
      </c>
    </row>
    <row r="104" spans="1:12" s="160" customFormat="1" ht="27" thickTop="1" thickBot="1">
      <c r="A104" s="445" t="s">
        <v>1563</v>
      </c>
      <c r="B104" s="442" t="s">
        <v>1565</v>
      </c>
      <c r="C104" s="441" t="s">
        <v>1760</v>
      </c>
      <c r="D104" s="441" t="s">
        <v>444</v>
      </c>
      <c r="E104" s="441" t="s">
        <v>444</v>
      </c>
      <c r="F104" s="441" t="s">
        <v>444</v>
      </c>
      <c r="G104" s="441" t="s">
        <v>444</v>
      </c>
      <c r="H104" s="441" t="s">
        <v>444</v>
      </c>
      <c r="I104" s="441" t="s">
        <v>444</v>
      </c>
      <c r="J104" s="441" t="s">
        <v>444</v>
      </c>
      <c r="K104" s="441" t="s">
        <v>444</v>
      </c>
      <c r="L104" s="497" t="s">
        <v>1760</v>
      </c>
    </row>
    <row r="105" spans="1:12" ht="27" thickTop="1" thickBot="1">
      <c r="A105" s="274" t="s">
        <v>754</v>
      </c>
      <c r="B105" s="255" t="s">
        <v>62</v>
      </c>
      <c r="C105" s="256" t="s">
        <v>1761</v>
      </c>
      <c r="D105" s="256" t="s">
        <v>444</v>
      </c>
      <c r="E105" s="256" t="s">
        <v>444</v>
      </c>
      <c r="F105" s="256" t="s">
        <v>444</v>
      </c>
      <c r="G105" s="256" t="s">
        <v>444</v>
      </c>
      <c r="H105" s="272" t="s">
        <v>1762</v>
      </c>
      <c r="I105" s="272" t="s">
        <v>1763</v>
      </c>
      <c r="J105" s="272" t="s">
        <v>1764</v>
      </c>
      <c r="K105" s="272" t="s">
        <v>1765</v>
      </c>
      <c r="L105" s="500" t="s">
        <v>1766</v>
      </c>
    </row>
    <row r="106" spans="1:12" s="160" customFormat="1" ht="27" thickTop="1" thickBot="1">
      <c r="A106" s="445" t="s">
        <v>755</v>
      </c>
      <c r="B106" s="442" t="s">
        <v>757</v>
      </c>
      <c r="C106" s="441" t="s">
        <v>1767</v>
      </c>
      <c r="D106" s="441" t="s">
        <v>444</v>
      </c>
      <c r="E106" s="441" t="s">
        <v>444</v>
      </c>
      <c r="F106" s="441" t="s">
        <v>444</v>
      </c>
      <c r="G106" s="441" t="s">
        <v>444</v>
      </c>
      <c r="H106" s="441" t="s">
        <v>444</v>
      </c>
      <c r="I106" s="441" t="s">
        <v>444</v>
      </c>
      <c r="J106" s="441" t="s">
        <v>444</v>
      </c>
      <c r="K106" s="491" t="s">
        <v>1767</v>
      </c>
      <c r="L106" s="499" t="s">
        <v>444</v>
      </c>
    </row>
    <row r="107" spans="1:12" s="160" customFormat="1" ht="27" thickTop="1" thickBot="1">
      <c r="A107" s="445" t="s">
        <v>758</v>
      </c>
      <c r="B107" s="442" t="s">
        <v>760</v>
      </c>
      <c r="C107" s="441" t="s">
        <v>1768</v>
      </c>
      <c r="D107" s="441" t="s">
        <v>444</v>
      </c>
      <c r="E107" s="441" t="s">
        <v>444</v>
      </c>
      <c r="F107" s="441" t="s">
        <v>444</v>
      </c>
      <c r="G107" s="441" t="s">
        <v>444</v>
      </c>
      <c r="H107" s="441" t="s">
        <v>444</v>
      </c>
      <c r="I107" s="441" t="s">
        <v>444</v>
      </c>
      <c r="J107" s="441" t="s">
        <v>444</v>
      </c>
      <c r="K107" s="491" t="s">
        <v>1769</v>
      </c>
      <c r="L107" s="497" t="s">
        <v>1769</v>
      </c>
    </row>
    <row r="108" spans="1:12" s="160" customFormat="1" ht="27" thickTop="1" thickBot="1">
      <c r="A108" s="445" t="s">
        <v>761</v>
      </c>
      <c r="B108" s="442" t="s">
        <v>763</v>
      </c>
      <c r="C108" s="441" t="s">
        <v>1770</v>
      </c>
      <c r="D108" s="441" t="s">
        <v>444</v>
      </c>
      <c r="E108" s="441" t="s">
        <v>444</v>
      </c>
      <c r="F108" s="441" t="s">
        <v>444</v>
      </c>
      <c r="G108" s="441" t="s">
        <v>444</v>
      </c>
      <c r="H108" s="441" t="s">
        <v>444</v>
      </c>
      <c r="I108" s="441" t="s">
        <v>444</v>
      </c>
      <c r="J108" s="441" t="s">
        <v>444</v>
      </c>
      <c r="K108" s="491" t="s">
        <v>1771</v>
      </c>
      <c r="L108" s="497" t="s">
        <v>1771</v>
      </c>
    </row>
    <row r="109" spans="1:12" s="160" customFormat="1" ht="27" thickTop="1" thickBot="1">
      <c r="A109" s="445" t="s">
        <v>764</v>
      </c>
      <c r="B109" s="442" t="s">
        <v>766</v>
      </c>
      <c r="C109" s="441" t="s">
        <v>1772</v>
      </c>
      <c r="D109" s="441" t="s">
        <v>444</v>
      </c>
      <c r="E109" s="441" t="s">
        <v>444</v>
      </c>
      <c r="F109" s="441" t="s">
        <v>444</v>
      </c>
      <c r="G109" s="441" t="s">
        <v>444</v>
      </c>
      <c r="H109" s="441" t="s">
        <v>444</v>
      </c>
      <c r="I109" s="441" t="s">
        <v>444</v>
      </c>
      <c r="J109" s="441" t="s">
        <v>444</v>
      </c>
      <c r="K109" s="441" t="s">
        <v>444</v>
      </c>
      <c r="L109" s="497" t="s">
        <v>1772</v>
      </c>
    </row>
    <row r="110" spans="1:12" s="160" customFormat="1" ht="39.75" thickTop="1" thickBot="1">
      <c r="A110" s="445" t="s">
        <v>767</v>
      </c>
      <c r="B110" s="442" t="s">
        <v>769</v>
      </c>
      <c r="C110" s="441" t="s">
        <v>1773</v>
      </c>
      <c r="D110" s="441" t="s">
        <v>444</v>
      </c>
      <c r="E110" s="441" t="s">
        <v>444</v>
      </c>
      <c r="F110" s="441" t="s">
        <v>444</v>
      </c>
      <c r="G110" s="441" t="s">
        <v>444</v>
      </c>
      <c r="H110" s="491" t="s">
        <v>1774</v>
      </c>
      <c r="I110" s="491" t="s">
        <v>1774</v>
      </c>
      <c r="J110" s="441" t="s">
        <v>444</v>
      </c>
      <c r="K110" s="441" t="s">
        <v>444</v>
      </c>
      <c r="L110" s="499" t="s">
        <v>444</v>
      </c>
    </row>
    <row r="111" spans="1:12" s="160" customFormat="1" ht="52.5" thickTop="1" thickBot="1">
      <c r="A111" s="445" t="s">
        <v>770</v>
      </c>
      <c r="B111" s="442" t="s">
        <v>772</v>
      </c>
      <c r="C111" s="441" t="s">
        <v>1775</v>
      </c>
      <c r="D111" s="441" t="s">
        <v>444</v>
      </c>
      <c r="E111" s="441" t="s">
        <v>444</v>
      </c>
      <c r="F111" s="441" t="s">
        <v>444</v>
      </c>
      <c r="G111" s="441" t="s">
        <v>444</v>
      </c>
      <c r="H111" s="491" t="s">
        <v>1776</v>
      </c>
      <c r="I111" s="491" t="s">
        <v>1777</v>
      </c>
      <c r="J111" s="491" t="s">
        <v>1778</v>
      </c>
      <c r="K111" s="491" t="s">
        <v>1778</v>
      </c>
      <c r="L111" s="499" t="s">
        <v>444</v>
      </c>
    </row>
    <row r="112" spans="1:12" s="160" customFormat="1" ht="27" thickTop="1" thickBot="1">
      <c r="A112" s="445" t="s">
        <v>773</v>
      </c>
      <c r="B112" s="442" t="s">
        <v>775</v>
      </c>
      <c r="C112" s="441" t="s">
        <v>1779</v>
      </c>
      <c r="D112" s="441" t="s">
        <v>444</v>
      </c>
      <c r="E112" s="441" t="s">
        <v>444</v>
      </c>
      <c r="F112" s="441" t="s">
        <v>444</v>
      </c>
      <c r="G112" s="441" t="s">
        <v>444</v>
      </c>
      <c r="H112" s="441" t="s">
        <v>444</v>
      </c>
      <c r="I112" s="441" t="s">
        <v>444</v>
      </c>
      <c r="J112" s="441" t="s">
        <v>444</v>
      </c>
      <c r="K112" s="441" t="s">
        <v>444</v>
      </c>
      <c r="L112" s="497" t="s">
        <v>1779</v>
      </c>
    </row>
    <row r="113" spans="1:12" s="160" customFormat="1" ht="27" thickTop="1" thickBot="1">
      <c r="A113" s="445" t="s">
        <v>776</v>
      </c>
      <c r="B113" s="442" t="s">
        <v>778</v>
      </c>
      <c r="C113" s="441" t="s">
        <v>1780</v>
      </c>
      <c r="D113" s="441" t="s">
        <v>444</v>
      </c>
      <c r="E113" s="441" t="s">
        <v>444</v>
      </c>
      <c r="F113" s="441" t="s">
        <v>444</v>
      </c>
      <c r="G113" s="441" t="s">
        <v>444</v>
      </c>
      <c r="H113" s="441" t="s">
        <v>444</v>
      </c>
      <c r="I113" s="441" t="s">
        <v>444</v>
      </c>
      <c r="J113" s="441" t="s">
        <v>444</v>
      </c>
      <c r="K113" s="441" t="s">
        <v>444</v>
      </c>
      <c r="L113" s="497" t="s">
        <v>1780</v>
      </c>
    </row>
    <row r="114" spans="1:12" ht="27" thickTop="1" thickBot="1">
      <c r="A114" s="274" t="s">
        <v>779</v>
      </c>
      <c r="B114" s="255" t="s">
        <v>780</v>
      </c>
      <c r="C114" s="256" t="s">
        <v>1781</v>
      </c>
      <c r="D114" s="256" t="s">
        <v>444</v>
      </c>
      <c r="E114" s="256" t="s">
        <v>444</v>
      </c>
      <c r="F114" s="256" t="s">
        <v>444</v>
      </c>
      <c r="G114" s="256" t="s">
        <v>444</v>
      </c>
      <c r="H114" s="272" t="s">
        <v>1782</v>
      </c>
      <c r="I114" s="256" t="s">
        <v>444</v>
      </c>
      <c r="J114" s="256" t="s">
        <v>444</v>
      </c>
      <c r="K114" s="272" t="s">
        <v>1783</v>
      </c>
      <c r="L114" s="500" t="s">
        <v>1784</v>
      </c>
    </row>
    <row r="115" spans="1:12" s="160" customFormat="1" ht="39.75" thickTop="1" thickBot="1">
      <c r="A115" s="445" t="s">
        <v>781</v>
      </c>
      <c r="B115" s="442" t="s">
        <v>783</v>
      </c>
      <c r="C115" s="441" t="s">
        <v>1785</v>
      </c>
      <c r="D115" s="441" t="s">
        <v>444</v>
      </c>
      <c r="E115" s="441" t="s">
        <v>444</v>
      </c>
      <c r="F115" s="441" t="s">
        <v>444</v>
      </c>
      <c r="G115" s="441" t="s">
        <v>444</v>
      </c>
      <c r="H115" s="491" t="s">
        <v>1785</v>
      </c>
      <c r="I115" s="441" t="s">
        <v>444</v>
      </c>
      <c r="J115" s="441" t="s">
        <v>444</v>
      </c>
      <c r="K115" s="441" t="s">
        <v>444</v>
      </c>
      <c r="L115" s="499" t="s">
        <v>444</v>
      </c>
    </row>
    <row r="116" spans="1:12" s="160" customFormat="1" ht="27" thickTop="1" thickBot="1">
      <c r="A116" s="445" t="s">
        <v>784</v>
      </c>
      <c r="B116" s="442" t="s">
        <v>786</v>
      </c>
      <c r="C116" s="441" t="s">
        <v>1786</v>
      </c>
      <c r="D116" s="441" t="s">
        <v>444</v>
      </c>
      <c r="E116" s="441" t="s">
        <v>444</v>
      </c>
      <c r="F116" s="441" t="s">
        <v>444</v>
      </c>
      <c r="G116" s="441" t="s">
        <v>444</v>
      </c>
      <c r="H116" s="491" t="s">
        <v>1786</v>
      </c>
      <c r="I116" s="441" t="s">
        <v>444</v>
      </c>
      <c r="J116" s="441" t="s">
        <v>444</v>
      </c>
      <c r="K116" s="441" t="s">
        <v>444</v>
      </c>
      <c r="L116" s="499" t="s">
        <v>444</v>
      </c>
    </row>
    <row r="117" spans="1:12" s="160" customFormat="1" ht="27" thickTop="1" thickBot="1">
      <c r="A117" s="445" t="s">
        <v>787</v>
      </c>
      <c r="B117" s="442" t="s">
        <v>789</v>
      </c>
      <c r="C117" s="441" t="s">
        <v>1787</v>
      </c>
      <c r="D117" s="441" t="s">
        <v>444</v>
      </c>
      <c r="E117" s="441" t="s">
        <v>444</v>
      </c>
      <c r="F117" s="441" t="s">
        <v>444</v>
      </c>
      <c r="G117" s="441" t="s">
        <v>444</v>
      </c>
      <c r="H117" s="491" t="s">
        <v>1787</v>
      </c>
      <c r="I117" s="441" t="s">
        <v>444</v>
      </c>
      <c r="J117" s="441" t="s">
        <v>444</v>
      </c>
      <c r="K117" s="441" t="s">
        <v>444</v>
      </c>
      <c r="L117" s="499" t="s">
        <v>444</v>
      </c>
    </row>
    <row r="118" spans="1:12" s="160" customFormat="1" ht="27" thickTop="1" thickBot="1">
      <c r="A118" s="445" t="s">
        <v>790</v>
      </c>
      <c r="B118" s="442" t="s">
        <v>1566</v>
      </c>
      <c r="C118" s="441" t="s">
        <v>1788</v>
      </c>
      <c r="D118" s="441" t="s">
        <v>444</v>
      </c>
      <c r="E118" s="441" t="s">
        <v>444</v>
      </c>
      <c r="F118" s="441" t="s">
        <v>444</v>
      </c>
      <c r="G118" s="441" t="s">
        <v>444</v>
      </c>
      <c r="H118" s="491" t="s">
        <v>1788</v>
      </c>
      <c r="I118" s="441" t="s">
        <v>444</v>
      </c>
      <c r="J118" s="441" t="s">
        <v>444</v>
      </c>
      <c r="K118" s="441" t="s">
        <v>444</v>
      </c>
      <c r="L118" s="499" t="s">
        <v>444</v>
      </c>
    </row>
    <row r="119" spans="1:12" s="160" customFormat="1" ht="27" thickTop="1" thickBot="1">
      <c r="A119" s="445" t="s">
        <v>792</v>
      </c>
      <c r="B119" s="442" t="s">
        <v>1567</v>
      </c>
      <c r="C119" s="441" t="s">
        <v>1789</v>
      </c>
      <c r="D119" s="441" t="s">
        <v>444</v>
      </c>
      <c r="E119" s="441" t="s">
        <v>444</v>
      </c>
      <c r="F119" s="441" t="s">
        <v>444</v>
      </c>
      <c r="G119" s="441" t="s">
        <v>444</v>
      </c>
      <c r="H119" s="491" t="s">
        <v>1789</v>
      </c>
      <c r="I119" s="441" t="s">
        <v>444</v>
      </c>
      <c r="J119" s="441" t="s">
        <v>444</v>
      </c>
      <c r="K119" s="441" t="s">
        <v>444</v>
      </c>
      <c r="L119" s="499" t="s">
        <v>444</v>
      </c>
    </row>
    <row r="120" spans="1:12" s="160" customFormat="1" ht="27" thickTop="1" thickBot="1">
      <c r="A120" s="445" t="s">
        <v>794</v>
      </c>
      <c r="B120" s="442" t="s">
        <v>1568</v>
      </c>
      <c r="C120" s="441" t="s">
        <v>1790</v>
      </c>
      <c r="D120" s="441" t="s">
        <v>444</v>
      </c>
      <c r="E120" s="441" t="s">
        <v>444</v>
      </c>
      <c r="F120" s="441" t="s">
        <v>444</v>
      </c>
      <c r="G120" s="441" t="s">
        <v>444</v>
      </c>
      <c r="H120" s="491" t="s">
        <v>1790</v>
      </c>
      <c r="I120" s="441" t="s">
        <v>444</v>
      </c>
      <c r="J120" s="441" t="s">
        <v>444</v>
      </c>
      <c r="K120" s="441" t="s">
        <v>444</v>
      </c>
      <c r="L120" s="499" t="s">
        <v>444</v>
      </c>
    </row>
    <row r="121" spans="1:12" s="160" customFormat="1" ht="52.5" thickTop="1" thickBot="1">
      <c r="A121" s="445" t="s">
        <v>796</v>
      </c>
      <c r="B121" s="442" t="s">
        <v>398</v>
      </c>
      <c r="C121" s="441" t="s">
        <v>1791</v>
      </c>
      <c r="D121" s="441" t="s">
        <v>444</v>
      </c>
      <c r="E121" s="441" t="s">
        <v>444</v>
      </c>
      <c r="F121" s="441" t="s">
        <v>444</v>
      </c>
      <c r="G121" s="441" t="s">
        <v>444</v>
      </c>
      <c r="H121" s="441" t="s">
        <v>444</v>
      </c>
      <c r="I121" s="441" t="s">
        <v>444</v>
      </c>
      <c r="J121" s="441" t="s">
        <v>444</v>
      </c>
      <c r="K121" s="491" t="s">
        <v>1791</v>
      </c>
      <c r="L121" s="499" t="s">
        <v>444</v>
      </c>
    </row>
    <row r="122" spans="1:12" s="160" customFormat="1" ht="27" thickTop="1" thickBot="1">
      <c r="A122" s="445" t="s">
        <v>797</v>
      </c>
      <c r="B122" s="442" t="s">
        <v>799</v>
      </c>
      <c r="C122" s="441" t="s">
        <v>1792</v>
      </c>
      <c r="D122" s="441" t="s">
        <v>444</v>
      </c>
      <c r="E122" s="441" t="s">
        <v>444</v>
      </c>
      <c r="F122" s="441" t="s">
        <v>444</v>
      </c>
      <c r="G122" s="441" t="s">
        <v>444</v>
      </c>
      <c r="H122" s="441" t="s">
        <v>444</v>
      </c>
      <c r="I122" s="441" t="s">
        <v>444</v>
      </c>
      <c r="J122" s="441" t="s">
        <v>444</v>
      </c>
      <c r="K122" s="441" t="s">
        <v>444</v>
      </c>
      <c r="L122" s="497" t="s">
        <v>1792</v>
      </c>
    </row>
    <row r="123" spans="1:12" s="160" customFormat="1" ht="27" thickTop="1" thickBot="1">
      <c r="A123" s="445" t="s">
        <v>800</v>
      </c>
      <c r="B123" s="442" t="s">
        <v>802</v>
      </c>
      <c r="C123" s="441" t="s">
        <v>1793</v>
      </c>
      <c r="D123" s="441" t="s">
        <v>444</v>
      </c>
      <c r="E123" s="441" t="s">
        <v>444</v>
      </c>
      <c r="F123" s="441" t="s">
        <v>444</v>
      </c>
      <c r="G123" s="441" t="s">
        <v>444</v>
      </c>
      <c r="H123" s="441" t="s">
        <v>444</v>
      </c>
      <c r="I123" s="441" t="s">
        <v>444</v>
      </c>
      <c r="J123" s="441" t="s">
        <v>444</v>
      </c>
      <c r="K123" s="441" t="s">
        <v>444</v>
      </c>
      <c r="L123" s="497" t="s">
        <v>1793</v>
      </c>
    </row>
    <row r="124" spans="1:12" ht="27" thickTop="1" thickBot="1">
      <c r="A124" s="274" t="s">
        <v>803</v>
      </c>
      <c r="B124" s="255" t="s">
        <v>149</v>
      </c>
      <c r="C124" s="256" t="s">
        <v>1794</v>
      </c>
      <c r="D124" s="256" t="s">
        <v>444</v>
      </c>
      <c r="E124" s="256" t="s">
        <v>444</v>
      </c>
      <c r="F124" s="256" t="s">
        <v>444</v>
      </c>
      <c r="G124" s="256" t="s">
        <v>444</v>
      </c>
      <c r="H124" s="272" t="s">
        <v>1795</v>
      </c>
      <c r="I124" s="272" t="s">
        <v>1796</v>
      </c>
      <c r="J124" s="256" t="s">
        <v>444</v>
      </c>
      <c r="K124" s="256" t="s">
        <v>444</v>
      </c>
      <c r="L124" s="498" t="s">
        <v>444</v>
      </c>
    </row>
    <row r="125" spans="1:12" s="160" customFormat="1" ht="27" thickTop="1" thickBot="1">
      <c r="A125" s="445" t="s">
        <v>804</v>
      </c>
      <c r="B125" s="442" t="s">
        <v>806</v>
      </c>
      <c r="C125" s="441" t="s">
        <v>1797</v>
      </c>
      <c r="D125" s="441" t="s">
        <v>444</v>
      </c>
      <c r="E125" s="441" t="s">
        <v>444</v>
      </c>
      <c r="F125" s="441" t="s">
        <v>444</v>
      </c>
      <c r="G125" s="441" t="s">
        <v>444</v>
      </c>
      <c r="H125" s="491" t="s">
        <v>1797</v>
      </c>
      <c r="I125" s="441" t="s">
        <v>444</v>
      </c>
      <c r="J125" s="441" t="s">
        <v>444</v>
      </c>
      <c r="K125" s="441" t="s">
        <v>444</v>
      </c>
      <c r="L125" s="499" t="s">
        <v>444</v>
      </c>
    </row>
    <row r="126" spans="1:12" s="160" customFormat="1" ht="27" thickTop="1" thickBot="1">
      <c r="A126" s="445" t="s">
        <v>808</v>
      </c>
      <c r="B126" s="442" t="s">
        <v>1570</v>
      </c>
      <c r="C126" s="441" t="s">
        <v>1798</v>
      </c>
      <c r="D126" s="441" t="s">
        <v>444</v>
      </c>
      <c r="E126" s="441" t="s">
        <v>444</v>
      </c>
      <c r="F126" s="441" t="s">
        <v>444</v>
      </c>
      <c r="G126" s="441" t="s">
        <v>444</v>
      </c>
      <c r="H126" s="491" t="s">
        <v>1798</v>
      </c>
      <c r="I126" s="441" t="s">
        <v>444</v>
      </c>
      <c r="J126" s="441" t="s">
        <v>444</v>
      </c>
      <c r="K126" s="441" t="s">
        <v>444</v>
      </c>
      <c r="L126" s="499" t="s">
        <v>444</v>
      </c>
    </row>
    <row r="127" spans="1:12" s="160" customFormat="1" ht="39.75" thickTop="1" thickBot="1">
      <c r="A127" s="445" t="s">
        <v>810</v>
      </c>
      <c r="B127" s="442" t="s">
        <v>1571</v>
      </c>
      <c r="C127" s="441" t="s">
        <v>1799</v>
      </c>
      <c r="D127" s="441" t="s">
        <v>444</v>
      </c>
      <c r="E127" s="441" t="s">
        <v>444</v>
      </c>
      <c r="F127" s="441" t="s">
        <v>444</v>
      </c>
      <c r="G127" s="441" t="s">
        <v>444</v>
      </c>
      <c r="H127" s="491" t="s">
        <v>1799</v>
      </c>
      <c r="I127" s="441" t="s">
        <v>444</v>
      </c>
      <c r="J127" s="441" t="s">
        <v>444</v>
      </c>
      <c r="K127" s="441" t="s">
        <v>444</v>
      </c>
      <c r="L127" s="499" t="s">
        <v>444</v>
      </c>
    </row>
    <row r="128" spans="1:12" s="160" customFormat="1" ht="39.75" thickTop="1" thickBot="1">
      <c r="A128" s="445" t="s">
        <v>812</v>
      </c>
      <c r="B128" s="442" t="s">
        <v>1573</v>
      </c>
      <c r="C128" s="441" t="s">
        <v>1800</v>
      </c>
      <c r="D128" s="441" t="s">
        <v>444</v>
      </c>
      <c r="E128" s="441" t="s">
        <v>444</v>
      </c>
      <c r="F128" s="441" t="s">
        <v>444</v>
      </c>
      <c r="G128" s="441" t="s">
        <v>444</v>
      </c>
      <c r="H128" s="491" t="s">
        <v>1800</v>
      </c>
      <c r="I128" s="441" t="s">
        <v>444</v>
      </c>
      <c r="J128" s="441" t="s">
        <v>444</v>
      </c>
      <c r="K128" s="441" t="s">
        <v>444</v>
      </c>
      <c r="L128" s="499" t="s">
        <v>444</v>
      </c>
    </row>
    <row r="129" spans="1:12" s="160" customFormat="1" ht="39.75" thickTop="1" thickBot="1">
      <c r="A129" s="445" t="s">
        <v>813</v>
      </c>
      <c r="B129" s="442" t="s">
        <v>1574</v>
      </c>
      <c r="C129" s="441" t="s">
        <v>1801</v>
      </c>
      <c r="D129" s="441" t="s">
        <v>444</v>
      </c>
      <c r="E129" s="441" t="s">
        <v>444</v>
      </c>
      <c r="F129" s="441" t="s">
        <v>444</v>
      </c>
      <c r="G129" s="441" t="s">
        <v>444</v>
      </c>
      <c r="H129" s="491" t="s">
        <v>1801</v>
      </c>
      <c r="I129" s="441" t="s">
        <v>444</v>
      </c>
      <c r="J129" s="441" t="s">
        <v>444</v>
      </c>
      <c r="K129" s="441" t="s">
        <v>444</v>
      </c>
      <c r="L129" s="499" t="s">
        <v>444</v>
      </c>
    </row>
    <row r="130" spans="1:12" s="160" customFormat="1" ht="27" thickTop="1" thickBot="1">
      <c r="A130" s="445" t="s">
        <v>815</v>
      </c>
      <c r="B130" s="442" t="s">
        <v>817</v>
      </c>
      <c r="C130" s="441" t="s">
        <v>1802</v>
      </c>
      <c r="D130" s="441" t="s">
        <v>444</v>
      </c>
      <c r="E130" s="441" t="s">
        <v>444</v>
      </c>
      <c r="F130" s="441" t="s">
        <v>444</v>
      </c>
      <c r="G130" s="441" t="s">
        <v>444</v>
      </c>
      <c r="H130" s="491" t="s">
        <v>1802</v>
      </c>
      <c r="I130" s="441" t="s">
        <v>444</v>
      </c>
      <c r="J130" s="441" t="s">
        <v>444</v>
      </c>
      <c r="K130" s="441" t="s">
        <v>444</v>
      </c>
      <c r="L130" s="499" t="s">
        <v>444</v>
      </c>
    </row>
    <row r="131" spans="1:12" s="160" customFormat="1" ht="39.75" thickTop="1" thickBot="1">
      <c r="A131" s="445" t="s">
        <v>818</v>
      </c>
      <c r="B131" s="442" t="s">
        <v>820</v>
      </c>
      <c r="C131" s="441" t="s">
        <v>1803</v>
      </c>
      <c r="D131" s="441" t="s">
        <v>444</v>
      </c>
      <c r="E131" s="441" t="s">
        <v>444</v>
      </c>
      <c r="F131" s="441" t="s">
        <v>444</v>
      </c>
      <c r="G131" s="441" t="s">
        <v>444</v>
      </c>
      <c r="H131" s="441" t="s">
        <v>444</v>
      </c>
      <c r="I131" s="491" t="s">
        <v>1803</v>
      </c>
      <c r="J131" s="441" t="s">
        <v>444</v>
      </c>
      <c r="K131" s="441" t="s">
        <v>444</v>
      </c>
      <c r="L131" s="499" t="s">
        <v>444</v>
      </c>
    </row>
    <row r="132" spans="1:12" ht="27" thickTop="1" thickBot="1">
      <c r="A132" s="274" t="s">
        <v>821</v>
      </c>
      <c r="B132" s="255" t="s">
        <v>218</v>
      </c>
      <c r="C132" s="256" t="s">
        <v>1804</v>
      </c>
      <c r="D132" s="256" t="s">
        <v>444</v>
      </c>
      <c r="E132" s="256" t="s">
        <v>444</v>
      </c>
      <c r="F132" s="256" t="s">
        <v>444</v>
      </c>
      <c r="G132" s="256" t="s">
        <v>444</v>
      </c>
      <c r="H132" s="256" t="s">
        <v>444</v>
      </c>
      <c r="I132" s="256" t="s">
        <v>444</v>
      </c>
      <c r="J132" s="272" t="s">
        <v>1805</v>
      </c>
      <c r="K132" s="272" t="s">
        <v>1806</v>
      </c>
      <c r="L132" s="498" t="s">
        <v>444</v>
      </c>
    </row>
    <row r="133" spans="1:12" s="160" customFormat="1" ht="27" thickTop="1" thickBot="1">
      <c r="A133" s="445" t="s">
        <v>822</v>
      </c>
      <c r="B133" s="442" t="s">
        <v>572</v>
      </c>
      <c r="C133" s="441" t="s">
        <v>1807</v>
      </c>
      <c r="D133" s="441" t="s">
        <v>444</v>
      </c>
      <c r="E133" s="441" t="s">
        <v>444</v>
      </c>
      <c r="F133" s="441" t="s">
        <v>444</v>
      </c>
      <c r="G133" s="441" t="s">
        <v>444</v>
      </c>
      <c r="H133" s="441" t="s">
        <v>444</v>
      </c>
      <c r="I133" s="441" t="s">
        <v>444</v>
      </c>
      <c r="J133" s="441" t="s">
        <v>444</v>
      </c>
      <c r="K133" s="491" t="s">
        <v>1807</v>
      </c>
      <c r="L133" s="499" t="s">
        <v>444</v>
      </c>
    </row>
    <row r="134" spans="1:12" s="160" customFormat="1" ht="39.75" thickTop="1" thickBot="1">
      <c r="A134" s="445" t="s">
        <v>823</v>
      </c>
      <c r="B134" s="442" t="s">
        <v>1575</v>
      </c>
      <c r="C134" s="441" t="s">
        <v>1808</v>
      </c>
      <c r="D134" s="441" t="s">
        <v>444</v>
      </c>
      <c r="E134" s="441" t="s">
        <v>444</v>
      </c>
      <c r="F134" s="441" t="s">
        <v>444</v>
      </c>
      <c r="G134" s="441" t="s">
        <v>444</v>
      </c>
      <c r="H134" s="441" t="s">
        <v>444</v>
      </c>
      <c r="I134" s="441" t="s">
        <v>444</v>
      </c>
      <c r="J134" s="441" t="s">
        <v>444</v>
      </c>
      <c r="K134" s="491" t="s">
        <v>1808</v>
      </c>
      <c r="L134" s="499" t="s">
        <v>444</v>
      </c>
    </row>
    <row r="135" spans="1:12" s="160" customFormat="1" ht="27" thickTop="1" thickBot="1">
      <c r="A135" s="445" t="s">
        <v>825</v>
      </c>
      <c r="B135" s="442" t="s">
        <v>1576</v>
      </c>
      <c r="C135" s="441" t="s">
        <v>1809</v>
      </c>
      <c r="D135" s="441" t="s">
        <v>444</v>
      </c>
      <c r="E135" s="441" t="s">
        <v>444</v>
      </c>
      <c r="F135" s="441" t="s">
        <v>444</v>
      </c>
      <c r="G135" s="441" t="s">
        <v>444</v>
      </c>
      <c r="H135" s="441" t="s">
        <v>444</v>
      </c>
      <c r="I135" s="441" t="s">
        <v>444</v>
      </c>
      <c r="J135" s="491" t="s">
        <v>1809</v>
      </c>
      <c r="K135" s="441" t="s">
        <v>444</v>
      </c>
      <c r="L135" s="499" t="s">
        <v>444</v>
      </c>
    </row>
    <row r="136" spans="1:12" s="160" customFormat="1" ht="39.75" thickTop="1" thickBot="1">
      <c r="A136" s="445" t="s">
        <v>827</v>
      </c>
      <c r="B136" s="442" t="s">
        <v>1577</v>
      </c>
      <c r="C136" s="441" t="s">
        <v>1810</v>
      </c>
      <c r="D136" s="441" t="s">
        <v>444</v>
      </c>
      <c r="E136" s="441" t="s">
        <v>444</v>
      </c>
      <c r="F136" s="441" t="s">
        <v>444</v>
      </c>
      <c r="G136" s="441" t="s">
        <v>444</v>
      </c>
      <c r="H136" s="441" t="s">
        <v>444</v>
      </c>
      <c r="I136" s="441" t="s">
        <v>444</v>
      </c>
      <c r="J136" s="491" t="s">
        <v>1810</v>
      </c>
      <c r="K136" s="441" t="s">
        <v>444</v>
      </c>
      <c r="L136" s="499" t="s">
        <v>444</v>
      </c>
    </row>
    <row r="137" spans="1:12" s="160" customFormat="1" ht="27" thickTop="1" thickBot="1">
      <c r="A137" s="445" t="s">
        <v>829</v>
      </c>
      <c r="B137" s="442" t="s">
        <v>831</v>
      </c>
      <c r="C137" s="441" t="s">
        <v>1811</v>
      </c>
      <c r="D137" s="441" t="s">
        <v>444</v>
      </c>
      <c r="E137" s="441" t="s">
        <v>444</v>
      </c>
      <c r="F137" s="441" t="s">
        <v>444</v>
      </c>
      <c r="G137" s="441" t="s">
        <v>444</v>
      </c>
      <c r="H137" s="441" t="s">
        <v>444</v>
      </c>
      <c r="I137" s="441" t="s">
        <v>444</v>
      </c>
      <c r="J137" s="441" t="s">
        <v>444</v>
      </c>
      <c r="K137" s="491" t="s">
        <v>1811</v>
      </c>
      <c r="L137" s="499" t="s">
        <v>444</v>
      </c>
    </row>
    <row r="138" spans="1:12" s="160" customFormat="1" ht="39.75" thickTop="1" thickBot="1">
      <c r="A138" s="445" t="s">
        <v>832</v>
      </c>
      <c r="B138" s="442" t="s">
        <v>834</v>
      </c>
      <c r="C138" s="441" t="s">
        <v>1812</v>
      </c>
      <c r="D138" s="441" t="s">
        <v>444</v>
      </c>
      <c r="E138" s="441" t="s">
        <v>444</v>
      </c>
      <c r="F138" s="441" t="s">
        <v>444</v>
      </c>
      <c r="G138" s="441" t="s">
        <v>444</v>
      </c>
      <c r="H138" s="441" t="s">
        <v>444</v>
      </c>
      <c r="I138" s="441" t="s">
        <v>444</v>
      </c>
      <c r="J138" s="441" t="s">
        <v>444</v>
      </c>
      <c r="K138" s="491" t="s">
        <v>1812</v>
      </c>
      <c r="L138" s="499" t="s">
        <v>444</v>
      </c>
    </row>
    <row r="139" spans="1:12" ht="27" thickTop="1" thickBot="1">
      <c r="A139" s="274" t="s">
        <v>835</v>
      </c>
      <c r="B139" s="255" t="s">
        <v>84</v>
      </c>
      <c r="C139" s="256" t="s">
        <v>1813</v>
      </c>
      <c r="D139" s="256" t="s">
        <v>444</v>
      </c>
      <c r="E139" s="256" t="s">
        <v>444</v>
      </c>
      <c r="F139" s="256" t="s">
        <v>444</v>
      </c>
      <c r="G139" s="256" t="s">
        <v>444</v>
      </c>
      <c r="H139" s="256" t="s">
        <v>444</v>
      </c>
      <c r="I139" s="256" t="s">
        <v>444</v>
      </c>
      <c r="J139" s="256" t="s">
        <v>444</v>
      </c>
      <c r="K139" s="272" t="s">
        <v>1814</v>
      </c>
      <c r="L139" s="500" t="s">
        <v>1815</v>
      </c>
    </row>
    <row r="140" spans="1:12" s="160" customFormat="1" ht="27" thickTop="1" thickBot="1">
      <c r="A140" s="445" t="s">
        <v>836</v>
      </c>
      <c r="B140" s="442" t="s">
        <v>838</v>
      </c>
      <c r="C140" s="441" t="s">
        <v>1816</v>
      </c>
      <c r="D140" s="441" t="s">
        <v>444</v>
      </c>
      <c r="E140" s="441" t="s">
        <v>444</v>
      </c>
      <c r="F140" s="441" t="s">
        <v>444</v>
      </c>
      <c r="G140" s="441" t="s">
        <v>444</v>
      </c>
      <c r="H140" s="441" t="s">
        <v>444</v>
      </c>
      <c r="I140" s="441" t="s">
        <v>444</v>
      </c>
      <c r="J140" s="441" t="s">
        <v>444</v>
      </c>
      <c r="K140" s="441" t="s">
        <v>444</v>
      </c>
      <c r="L140" s="497" t="s">
        <v>1816</v>
      </c>
    </row>
    <row r="141" spans="1:12" s="160" customFormat="1" ht="39.75" thickTop="1" thickBot="1">
      <c r="A141" s="445" t="s">
        <v>839</v>
      </c>
      <c r="B141" s="442" t="s">
        <v>841</v>
      </c>
      <c r="C141" s="441" t="s">
        <v>1817</v>
      </c>
      <c r="D141" s="441" t="s">
        <v>444</v>
      </c>
      <c r="E141" s="441" t="s">
        <v>444</v>
      </c>
      <c r="F141" s="441" t="s">
        <v>444</v>
      </c>
      <c r="G141" s="441" t="s">
        <v>444</v>
      </c>
      <c r="H141" s="441" t="s">
        <v>444</v>
      </c>
      <c r="I141" s="441" t="s">
        <v>444</v>
      </c>
      <c r="J141" s="441" t="s">
        <v>444</v>
      </c>
      <c r="K141" s="441" t="s">
        <v>444</v>
      </c>
      <c r="L141" s="497" t="s">
        <v>1817</v>
      </c>
    </row>
    <row r="142" spans="1:12" s="160" customFormat="1" ht="27" thickTop="1" thickBot="1">
      <c r="A142" s="445" t="s">
        <v>842</v>
      </c>
      <c r="B142" s="442" t="s">
        <v>844</v>
      </c>
      <c r="C142" s="441" t="s">
        <v>1818</v>
      </c>
      <c r="D142" s="441" t="s">
        <v>444</v>
      </c>
      <c r="E142" s="441" t="s">
        <v>444</v>
      </c>
      <c r="F142" s="441" t="s">
        <v>444</v>
      </c>
      <c r="G142" s="441" t="s">
        <v>444</v>
      </c>
      <c r="H142" s="441" t="s">
        <v>444</v>
      </c>
      <c r="I142" s="441" t="s">
        <v>444</v>
      </c>
      <c r="J142" s="441" t="s">
        <v>444</v>
      </c>
      <c r="K142" s="441" t="s">
        <v>444</v>
      </c>
      <c r="L142" s="497" t="s">
        <v>1818</v>
      </c>
    </row>
    <row r="143" spans="1:12" s="160" customFormat="1" ht="27" thickTop="1" thickBot="1">
      <c r="A143" s="445" t="s">
        <v>845</v>
      </c>
      <c r="B143" s="442" t="s">
        <v>847</v>
      </c>
      <c r="C143" s="441" t="s">
        <v>1819</v>
      </c>
      <c r="D143" s="441" t="s">
        <v>444</v>
      </c>
      <c r="E143" s="441" t="s">
        <v>444</v>
      </c>
      <c r="F143" s="441" t="s">
        <v>444</v>
      </c>
      <c r="G143" s="441" t="s">
        <v>444</v>
      </c>
      <c r="H143" s="441" t="s">
        <v>444</v>
      </c>
      <c r="I143" s="441" t="s">
        <v>444</v>
      </c>
      <c r="J143" s="441" t="s">
        <v>444</v>
      </c>
      <c r="K143" s="441" t="s">
        <v>444</v>
      </c>
      <c r="L143" s="497" t="s">
        <v>1819</v>
      </c>
    </row>
    <row r="144" spans="1:12" s="160" customFormat="1" ht="52.5" thickTop="1" thickBot="1">
      <c r="A144" s="445" t="s">
        <v>848</v>
      </c>
      <c r="B144" s="442" t="s">
        <v>850</v>
      </c>
      <c r="C144" s="441" t="s">
        <v>1820</v>
      </c>
      <c r="D144" s="441" t="s">
        <v>444</v>
      </c>
      <c r="E144" s="441" t="s">
        <v>444</v>
      </c>
      <c r="F144" s="441" t="s">
        <v>444</v>
      </c>
      <c r="G144" s="441" t="s">
        <v>444</v>
      </c>
      <c r="H144" s="441" t="s">
        <v>444</v>
      </c>
      <c r="I144" s="441" t="s">
        <v>444</v>
      </c>
      <c r="J144" s="441" t="s">
        <v>444</v>
      </c>
      <c r="K144" s="441" t="s">
        <v>444</v>
      </c>
      <c r="L144" s="497" t="s">
        <v>1820</v>
      </c>
    </row>
    <row r="145" spans="1:12" s="160" customFormat="1" ht="27" thickTop="1" thickBot="1">
      <c r="A145" s="445" t="s">
        <v>851</v>
      </c>
      <c r="B145" s="442" t="s">
        <v>853</v>
      </c>
      <c r="C145" s="441" t="s">
        <v>1821</v>
      </c>
      <c r="D145" s="441" t="s">
        <v>444</v>
      </c>
      <c r="E145" s="441" t="s">
        <v>444</v>
      </c>
      <c r="F145" s="441" t="s">
        <v>444</v>
      </c>
      <c r="G145" s="441" t="s">
        <v>444</v>
      </c>
      <c r="H145" s="441" t="s">
        <v>444</v>
      </c>
      <c r="I145" s="441" t="s">
        <v>444</v>
      </c>
      <c r="J145" s="441" t="s">
        <v>444</v>
      </c>
      <c r="K145" s="491" t="s">
        <v>1821</v>
      </c>
      <c r="L145" s="499" t="s">
        <v>444</v>
      </c>
    </row>
    <row r="146" spans="1:12" s="160" customFormat="1" ht="27" thickTop="1" thickBot="1">
      <c r="A146" s="445" t="s">
        <v>854</v>
      </c>
      <c r="B146" s="442" t="s">
        <v>856</v>
      </c>
      <c r="C146" s="441" t="s">
        <v>1822</v>
      </c>
      <c r="D146" s="441" t="s">
        <v>444</v>
      </c>
      <c r="E146" s="441" t="s">
        <v>444</v>
      </c>
      <c r="F146" s="441" t="s">
        <v>444</v>
      </c>
      <c r="G146" s="441" t="s">
        <v>444</v>
      </c>
      <c r="H146" s="441" t="s">
        <v>444</v>
      </c>
      <c r="I146" s="441" t="s">
        <v>444</v>
      </c>
      <c r="J146" s="441" t="s">
        <v>444</v>
      </c>
      <c r="K146" s="441" t="s">
        <v>444</v>
      </c>
      <c r="L146" s="497" t="s">
        <v>1822</v>
      </c>
    </row>
    <row r="147" spans="1:12" s="160" customFormat="1" ht="27" thickTop="1" thickBot="1">
      <c r="A147" s="445" t="s">
        <v>857</v>
      </c>
      <c r="B147" s="442" t="s">
        <v>859</v>
      </c>
      <c r="C147" s="441" t="s">
        <v>1823</v>
      </c>
      <c r="D147" s="441" t="s">
        <v>444</v>
      </c>
      <c r="E147" s="441" t="s">
        <v>444</v>
      </c>
      <c r="F147" s="441" t="s">
        <v>444</v>
      </c>
      <c r="G147" s="441" t="s">
        <v>444</v>
      </c>
      <c r="H147" s="441" t="s">
        <v>444</v>
      </c>
      <c r="I147" s="441" t="s">
        <v>444</v>
      </c>
      <c r="J147" s="441" t="s">
        <v>444</v>
      </c>
      <c r="K147" s="441" t="s">
        <v>444</v>
      </c>
      <c r="L147" s="497" t="s">
        <v>1823</v>
      </c>
    </row>
    <row r="148" spans="1:12" s="160" customFormat="1" ht="27" thickTop="1" thickBot="1">
      <c r="A148" s="445" t="s">
        <v>860</v>
      </c>
      <c r="B148" s="442" t="s">
        <v>862</v>
      </c>
      <c r="C148" s="441" t="s">
        <v>1824</v>
      </c>
      <c r="D148" s="441" t="s">
        <v>444</v>
      </c>
      <c r="E148" s="441" t="s">
        <v>444</v>
      </c>
      <c r="F148" s="441" t="s">
        <v>444</v>
      </c>
      <c r="G148" s="441" t="s">
        <v>444</v>
      </c>
      <c r="H148" s="441" t="s">
        <v>444</v>
      </c>
      <c r="I148" s="441" t="s">
        <v>444</v>
      </c>
      <c r="J148" s="441" t="s">
        <v>444</v>
      </c>
      <c r="K148" s="441" t="s">
        <v>444</v>
      </c>
      <c r="L148" s="497" t="s">
        <v>1824</v>
      </c>
    </row>
    <row r="149" spans="1:12" s="160" customFormat="1" ht="27" thickTop="1" thickBot="1">
      <c r="A149" s="445" t="s">
        <v>863</v>
      </c>
      <c r="B149" s="442" t="s">
        <v>865</v>
      </c>
      <c r="C149" s="441" t="s">
        <v>1825</v>
      </c>
      <c r="D149" s="441" t="s">
        <v>444</v>
      </c>
      <c r="E149" s="441" t="s">
        <v>444</v>
      </c>
      <c r="F149" s="441" t="s">
        <v>444</v>
      </c>
      <c r="G149" s="441" t="s">
        <v>444</v>
      </c>
      <c r="H149" s="441" t="s">
        <v>444</v>
      </c>
      <c r="I149" s="441" t="s">
        <v>444</v>
      </c>
      <c r="J149" s="441" t="s">
        <v>444</v>
      </c>
      <c r="K149" s="441" t="s">
        <v>444</v>
      </c>
      <c r="L149" s="497" t="s">
        <v>1825</v>
      </c>
    </row>
    <row r="150" spans="1:12" s="160" customFormat="1" ht="27" thickTop="1" thickBot="1">
      <c r="A150" s="445" t="s">
        <v>866</v>
      </c>
      <c r="B150" s="442" t="s">
        <v>868</v>
      </c>
      <c r="C150" s="441" t="s">
        <v>1826</v>
      </c>
      <c r="D150" s="441" t="s">
        <v>444</v>
      </c>
      <c r="E150" s="441" t="s">
        <v>444</v>
      </c>
      <c r="F150" s="441" t="s">
        <v>444</v>
      </c>
      <c r="G150" s="441" t="s">
        <v>444</v>
      </c>
      <c r="H150" s="441" t="s">
        <v>444</v>
      </c>
      <c r="I150" s="441" t="s">
        <v>444</v>
      </c>
      <c r="J150" s="441" t="s">
        <v>444</v>
      </c>
      <c r="K150" s="441" t="s">
        <v>444</v>
      </c>
      <c r="L150" s="497" t="s">
        <v>1826</v>
      </c>
    </row>
    <row r="151" spans="1:12" s="160" customFormat="1" ht="27" thickTop="1" thickBot="1">
      <c r="A151" s="445" t="s">
        <v>869</v>
      </c>
      <c r="B151" s="442" t="s">
        <v>1579</v>
      </c>
      <c r="C151" s="441" t="s">
        <v>1827</v>
      </c>
      <c r="D151" s="441" t="s">
        <v>444</v>
      </c>
      <c r="E151" s="441" t="s">
        <v>444</v>
      </c>
      <c r="F151" s="441" t="s">
        <v>444</v>
      </c>
      <c r="G151" s="441" t="s">
        <v>444</v>
      </c>
      <c r="H151" s="441" t="s">
        <v>444</v>
      </c>
      <c r="I151" s="441" t="s">
        <v>444</v>
      </c>
      <c r="J151" s="441" t="s">
        <v>444</v>
      </c>
      <c r="K151" s="441" t="s">
        <v>444</v>
      </c>
      <c r="L151" s="497" t="s">
        <v>1827</v>
      </c>
    </row>
    <row r="152" spans="1:12" s="160" customFormat="1" ht="27" thickTop="1" thickBot="1">
      <c r="A152" s="445" t="s">
        <v>872</v>
      </c>
      <c r="B152" s="442" t="s">
        <v>871</v>
      </c>
      <c r="C152" s="441" t="s">
        <v>1828</v>
      </c>
      <c r="D152" s="441" t="s">
        <v>444</v>
      </c>
      <c r="E152" s="441" t="s">
        <v>444</v>
      </c>
      <c r="F152" s="441" t="s">
        <v>444</v>
      </c>
      <c r="G152" s="441" t="s">
        <v>444</v>
      </c>
      <c r="H152" s="441" t="s">
        <v>444</v>
      </c>
      <c r="I152" s="441" t="s">
        <v>444</v>
      </c>
      <c r="J152" s="441" t="s">
        <v>444</v>
      </c>
      <c r="K152" s="441" t="s">
        <v>444</v>
      </c>
      <c r="L152" s="497" t="s">
        <v>1828</v>
      </c>
    </row>
    <row r="153" spans="1:12" s="160" customFormat="1" ht="39.75" thickTop="1" thickBot="1">
      <c r="A153" s="445" t="s">
        <v>874</v>
      </c>
      <c r="B153" s="442" t="s">
        <v>447</v>
      </c>
      <c r="C153" s="441" t="s">
        <v>1829</v>
      </c>
      <c r="D153" s="441" t="s">
        <v>444</v>
      </c>
      <c r="E153" s="441" t="s">
        <v>444</v>
      </c>
      <c r="F153" s="441" t="s">
        <v>444</v>
      </c>
      <c r="G153" s="441" t="s">
        <v>444</v>
      </c>
      <c r="H153" s="441" t="s">
        <v>444</v>
      </c>
      <c r="I153" s="441" t="s">
        <v>444</v>
      </c>
      <c r="J153" s="441" t="s">
        <v>444</v>
      </c>
      <c r="K153" s="441" t="s">
        <v>444</v>
      </c>
      <c r="L153" s="497" t="s">
        <v>1829</v>
      </c>
    </row>
    <row r="154" spans="1:12" s="160" customFormat="1" ht="27" thickTop="1" thickBot="1">
      <c r="A154" s="445" t="s">
        <v>877</v>
      </c>
      <c r="B154" s="442" t="s">
        <v>876</v>
      </c>
      <c r="C154" s="441" t="s">
        <v>1830</v>
      </c>
      <c r="D154" s="441" t="s">
        <v>444</v>
      </c>
      <c r="E154" s="441" t="s">
        <v>444</v>
      </c>
      <c r="F154" s="441" t="s">
        <v>444</v>
      </c>
      <c r="G154" s="441" t="s">
        <v>444</v>
      </c>
      <c r="H154" s="441" t="s">
        <v>444</v>
      </c>
      <c r="I154" s="441" t="s">
        <v>444</v>
      </c>
      <c r="J154" s="441" t="s">
        <v>444</v>
      </c>
      <c r="K154" s="491" t="s">
        <v>1830</v>
      </c>
      <c r="L154" s="499" t="s">
        <v>444</v>
      </c>
    </row>
    <row r="155" spans="1:12" s="160" customFormat="1" ht="27" thickTop="1" thickBot="1">
      <c r="A155" s="445" t="s">
        <v>880</v>
      </c>
      <c r="B155" s="442" t="s">
        <v>879</v>
      </c>
      <c r="C155" s="441" t="s">
        <v>1831</v>
      </c>
      <c r="D155" s="441" t="s">
        <v>444</v>
      </c>
      <c r="E155" s="441" t="s">
        <v>444</v>
      </c>
      <c r="F155" s="441" t="s">
        <v>444</v>
      </c>
      <c r="G155" s="441" t="s">
        <v>444</v>
      </c>
      <c r="H155" s="441" t="s">
        <v>444</v>
      </c>
      <c r="I155" s="441" t="s">
        <v>444</v>
      </c>
      <c r="J155" s="441" t="s">
        <v>444</v>
      </c>
      <c r="K155" s="441" t="s">
        <v>444</v>
      </c>
      <c r="L155" s="497" t="s">
        <v>1831</v>
      </c>
    </row>
    <row r="156" spans="1:12" s="160" customFormat="1" ht="27" thickTop="1" thickBot="1">
      <c r="A156" s="445" t="s">
        <v>882</v>
      </c>
      <c r="B156" s="442" t="s">
        <v>881</v>
      </c>
      <c r="C156" s="441" t="s">
        <v>1832</v>
      </c>
      <c r="D156" s="441" t="s">
        <v>444</v>
      </c>
      <c r="E156" s="441" t="s">
        <v>444</v>
      </c>
      <c r="F156" s="441" t="s">
        <v>444</v>
      </c>
      <c r="G156" s="441" t="s">
        <v>444</v>
      </c>
      <c r="H156" s="441" t="s">
        <v>444</v>
      </c>
      <c r="I156" s="441" t="s">
        <v>444</v>
      </c>
      <c r="J156" s="441" t="s">
        <v>444</v>
      </c>
      <c r="K156" s="441" t="s">
        <v>444</v>
      </c>
      <c r="L156" s="497" t="s">
        <v>1832</v>
      </c>
    </row>
    <row r="157" spans="1:12" s="160" customFormat="1" ht="27" thickTop="1" thickBot="1">
      <c r="A157" s="445" t="s">
        <v>885</v>
      </c>
      <c r="B157" s="442" t="s">
        <v>884</v>
      </c>
      <c r="C157" s="441" t="s">
        <v>1833</v>
      </c>
      <c r="D157" s="441" t="s">
        <v>444</v>
      </c>
      <c r="E157" s="441" t="s">
        <v>444</v>
      </c>
      <c r="F157" s="441" t="s">
        <v>444</v>
      </c>
      <c r="G157" s="441" t="s">
        <v>444</v>
      </c>
      <c r="H157" s="441" t="s">
        <v>444</v>
      </c>
      <c r="I157" s="441" t="s">
        <v>444</v>
      </c>
      <c r="J157" s="441" t="s">
        <v>444</v>
      </c>
      <c r="K157" s="441" t="s">
        <v>444</v>
      </c>
      <c r="L157" s="497" t="s">
        <v>1833</v>
      </c>
    </row>
    <row r="158" spans="1:12" ht="27" thickTop="1" thickBot="1">
      <c r="A158" s="274" t="s">
        <v>886</v>
      </c>
      <c r="B158" s="255" t="s">
        <v>94</v>
      </c>
      <c r="C158" s="256" t="s">
        <v>1834</v>
      </c>
      <c r="D158" s="256" t="s">
        <v>444</v>
      </c>
      <c r="E158" s="256" t="s">
        <v>444</v>
      </c>
      <c r="F158" s="256" t="s">
        <v>444</v>
      </c>
      <c r="G158" s="272" t="s">
        <v>1835</v>
      </c>
      <c r="H158" s="272" t="s">
        <v>1836</v>
      </c>
      <c r="I158" s="272" t="s">
        <v>1837</v>
      </c>
      <c r="J158" s="272" t="s">
        <v>1838</v>
      </c>
      <c r="K158" s="272" t="s">
        <v>1839</v>
      </c>
      <c r="L158" s="500" t="s">
        <v>1840</v>
      </c>
    </row>
    <row r="159" spans="1:12" s="160" customFormat="1" ht="39.75" thickTop="1" thickBot="1">
      <c r="A159" s="445" t="s">
        <v>887</v>
      </c>
      <c r="B159" s="442" t="s">
        <v>889</v>
      </c>
      <c r="C159" s="441" t="s">
        <v>1841</v>
      </c>
      <c r="D159" s="441" t="s">
        <v>444</v>
      </c>
      <c r="E159" s="441" t="s">
        <v>444</v>
      </c>
      <c r="F159" s="441" t="s">
        <v>444</v>
      </c>
      <c r="G159" s="491" t="s">
        <v>1841</v>
      </c>
      <c r="H159" s="441" t="s">
        <v>444</v>
      </c>
      <c r="I159" s="441" t="s">
        <v>444</v>
      </c>
      <c r="J159" s="441" t="s">
        <v>444</v>
      </c>
      <c r="K159" s="441" t="s">
        <v>444</v>
      </c>
      <c r="L159" s="499" t="s">
        <v>444</v>
      </c>
    </row>
    <row r="160" spans="1:12" s="160" customFormat="1" ht="39.75" thickTop="1" thickBot="1">
      <c r="A160" s="445" t="s">
        <v>890</v>
      </c>
      <c r="B160" s="442" t="s">
        <v>892</v>
      </c>
      <c r="C160" s="441" t="s">
        <v>1842</v>
      </c>
      <c r="D160" s="441" t="s">
        <v>444</v>
      </c>
      <c r="E160" s="441" t="s">
        <v>444</v>
      </c>
      <c r="F160" s="441" t="s">
        <v>444</v>
      </c>
      <c r="G160" s="491" t="s">
        <v>1842</v>
      </c>
      <c r="H160" s="441" t="s">
        <v>444</v>
      </c>
      <c r="I160" s="441" t="s">
        <v>444</v>
      </c>
      <c r="J160" s="441" t="s">
        <v>444</v>
      </c>
      <c r="K160" s="441" t="s">
        <v>444</v>
      </c>
      <c r="L160" s="499" t="s">
        <v>444</v>
      </c>
    </row>
    <row r="161" spans="1:12" s="160" customFormat="1" ht="27" thickTop="1" thickBot="1">
      <c r="A161" s="445" t="s">
        <v>893</v>
      </c>
      <c r="B161" s="442" t="s">
        <v>895</v>
      </c>
      <c r="C161" s="441" t="s">
        <v>1176</v>
      </c>
      <c r="D161" s="441" t="s">
        <v>444</v>
      </c>
      <c r="E161" s="441" t="s">
        <v>444</v>
      </c>
      <c r="F161" s="441" t="s">
        <v>444</v>
      </c>
      <c r="G161" s="491" t="s">
        <v>1176</v>
      </c>
      <c r="H161" s="441" t="s">
        <v>444</v>
      </c>
      <c r="I161" s="441" t="s">
        <v>444</v>
      </c>
      <c r="J161" s="441" t="s">
        <v>444</v>
      </c>
      <c r="K161" s="441" t="s">
        <v>444</v>
      </c>
      <c r="L161" s="499" t="s">
        <v>444</v>
      </c>
    </row>
    <row r="162" spans="1:12" s="160" customFormat="1" ht="27" thickTop="1" thickBot="1">
      <c r="A162" s="445" t="s">
        <v>896</v>
      </c>
      <c r="B162" s="442" t="s">
        <v>897</v>
      </c>
      <c r="C162" s="441" t="s">
        <v>1843</v>
      </c>
      <c r="D162" s="441" t="s">
        <v>444</v>
      </c>
      <c r="E162" s="441" t="s">
        <v>444</v>
      </c>
      <c r="F162" s="441" t="s">
        <v>444</v>
      </c>
      <c r="G162" s="441" t="s">
        <v>444</v>
      </c>
      <c r="H162" s="441" t="s">
        <v>444</v>
      </c>
      <c r="I162" s="491" t="s">
        <v>1843</v>
      </c>
      <c r="J162" s="441" t="s">
        <v>444</v>
      </c>
      <c r="K162" s="441" t="s">
        <v>444</v>
      </c>
      <c r="L162" s="499" t="s">
        <v>444</v>
      </c>
    </row>
    <row r="163" spans="1:12" s="160" customFormat="1" ht="27" thickTop="1" thickBot="1">
      <c r="A163" s="445" t="s">
        <v>898</v>
      </c>
      <c r="B163" s="442" t="s">
        <v>900</v>
      </c>
      <c r="C163" s="441" t="s">
        <v>1844</v>
      </c>
      <c r="D163" s="441" t="s">
        <v>444</v>
      </c>
      <c r="E163" s="441" t="s">
        <v>444</v>
      </c>
      <c r="F163" s="441" t="s">
        <v>444</v>
      </c>
      <c r="G163" s="441" t="s">
        <v>444</v>
      </c>
      <c r="H163" s="441" t="s">
        <v>444</v>
      </c>
      <c r="I163" s="441" t="s">
        <v>444</v>
      </c>
      <c r="J163" s="441" t="s">
        <v>444</v>
      </c>
      <c r="K163" s="491" t="s">
        <v>1844</v>
      </c>
      <c r="L163" s="499" t="s">
        <v>444</v>
      </c>
    </row>
    <row r="164" spans="1:12" s="160" customFormat="1" ht="27" thickTop="1" thickBot="1">
      <c r="A164" s="445" t="s">
        <v>901</v>
      </c>
      <c r="B164" s="442" t="s">
        <v>903</v>
      </c>
      <c r="C164" s="441" t="s">
        <v>1845</v>
      </c>
      <c r="D164" s="441" t="s">
        <v>444</v>
      </c>
      <c r="E164" s="441" t="s">
        <v>444</v>
      </c>
      <c r="F164" s="441" t="s">
        <v>444</v>
      </c>
      <c r="G164" s="441" t="s">
        <v>444</v>
      </c>
      <c r="H164" s="441" t="s">
        <v>444</v>
      </c>
      <c r="I164" s="441" t="s">
        <v>444</v>
      </c>
      <c r="J164" s="441" t="s">
        <v>444</v>
      </c>
      <c r="K164" s="491" t="s">
        <v>1845</v>
      </c>
      <c r="L164" s="499" t="s">
        <v>444</v>
      </c>
    </row>
    <row r="165" spans="1:12" s="160" customFormat="1" ht="27" thickTop="1" thickBot="1">
      <c r="A165" s="445" t="s">
        <v>904</v>
      </c>
      <c r="B165" s="442" t="s">
        <v>906</v>
      </c>
      <c r="C165" s="441" t="s">
        <v>1846</v>
      </c>
      <c r="D165" s="441" t="s">
        <v>444</v>
      </c>
      <c r="E165" s="441" t="s">
        <v>444</v>
      </c>
      <c r="F165" s="441" t="s">
        <v>444</v>
      </c>
      <c r="G165" s="441" t="s">
        <v>444</v>
      </c>
      <c r="H165" s="441" t="s">
        <v>444</v>
      </c>
      <c r="I165" s="441" t="s">
        <v>444</v>
      </c>
      <c r="J165" s="441" t="s">
        <v>444</v>
      </c>
      <c r="K165" s="491" t="s">
        <v>1846</v>
      </c>
      <c r="L165" s="499" t="s">
        <v>444</v>
      </c>
    </row>
    <row r="166" spans="1:12" s="160" customFormat="1" ht="39.75" thickTop="1" thickBot="1">
      <c r="A166" s="445" t="s">
        <v>907</v>
      </c>
      <c r="B166" s="442" t="s">
        <v>909</v>
      </c>
      <c r="C166" s="441" t="s">
        <v>1847</v>
      </c>
      <c r="D166" s="441" t="s">
        <v>444</v>
      </c>
      <c r="E166" s="441" t="s">
        <v>444</v>
      </c>
      <c r="F166" s="441" t="s">
        <v>444</v>
      </c>
      <c r="G166" s="441" t="s">
        <v>444</v>
      </c>
      <c r="H166" s="491" t="s">
        <v>1847</v>
      </c>
      <c r="I166" s="441" t="s">
        <v>444</v>
      </c>
      <c r="J166" s="441" t="s">
        <v>444</v>
      </c>
      <c r="K166" s="441" t="s">
        <v>444</v>
      </c>
      <c r="L166" s="499" t="s">
        <v>444</v>
      </c>
    </row>
    <row r="167" spans="1:12" s="160" customFormat="1" ht="39.75" thickTop="1" thickBot="1">
      <c r="A167" s="445" t="s">
        <v>910</v>
      </c>
      <c r="B167" s="442" t="s">
        <v>912</v>
      </c>
      <c r="C167" s="441" t="s">
        <v>1848</v>
      </c>
      <c r="D167" s="441" t="s">
        <v>444</v>
      </c>
      <c r="E167" s="441" t="s">
        <v>444</v>
      </c>
      <c r="F167" s="441" t="s">
        <v>444</v>
      </c>
      <c r="G167" s="441" t="s">
        <v>444</v>
      </c>
      <c r="H167" s="491" t="s">
        <v>1848</v>
      </c>
      <c r="I167" s="441" t="s">
        <v>444</v>
      </c>
      <c r="J167" s="441" t="s">
        <v>444</v>
      </c>
      <c r="K167" s="441" t="s">
        <v>444</v>
      </c>
      <c r="L167" s="499" t="s">
        <v>444</v>
      </c>
    </row>
    <row r="168" spans="1:12" s="160" customFormat="1" ht="39.75" thickTop="1" thickBot="1">
      <c r="A168" s="445" t="s">
        <v>913</v>
      </c>
      <c r="B168" s="442" t="s">
        <v>915</v>
      </c>
      <c r="C168" s="441" t="s">
        <v>1849</v>
      </c>
      <c r="D168" s="441" t="s">
        <v>444</v>
      </c>
      <c r="E168" s="441" t="s">
        <v>444</v>
      </c>
      <c r="F168" s="441" t="s">
        <v>444</v>
      </c>
      <c r="G168" s="441" t="s">
        <v>444</v>
      </c>
      <c r="H168" s="491" t="s">
        <v>1849</v>
      </c>
      <c r="I168" s="441" t="s">
        <v>444</v>
      </c>
      <c r="J168" s="441" t="s">
        <v>444</v>
      </c>
      <c r="K168" s="441" t="s">
        <v>444</v>
      </c>
      <c r="L168" s="499" t="s">
        <v>444</v>
      </c>
    </row>
    <row r="169" spans="1:12" s="160" customFormat="1" ht="39.75" thickTop="1" thickBot="1">
      <c r="A169" s="445" t="s">
        <v>916</v>
      </c>
      <c r="B169" s="442" t="s">
        <v>918</v>
      </c>
      <c r="C169" s="441" t="s">
        <v>1850</v>
      </c>
      <c r="D169" s="441" t="s">
        <v>444</v>
      </c>
      <c r="E169" s="441" t="s">
        <v>444</v>
      </c>
      <c r="F169" s="441" t="s">
        <v>444</v>
      </c>
      <c r="G169" s="441" t="s">
        <v>444</v>
      </c>
      <c r="H169" s="491" t="s">
        <v>1851</v>
      </c>
      <c r="I169" s="491" t="s">
        <v>1851</v>
      </c>
      <c r="J169" s="441" t="s">
        <v>444</v>
      </c>
      <c r="K169" s="441" t="s">
        <v>444</v>
      </c>
      <c r="L169" s="499" t="s">
        <v>444</v>
      </c>
    </row>
    <row r="170" spans="1:12" s="160" customFormat="1" ht="39.75" thickTop="1" thickBot="1">
      <c r="A170" s="445" t="s">
        <v>919</v>
      </c>
      <c r="B170" s="442" t="s">
        <v>921</v>
      </c>
      <c r="C170" s="441" t="s">
        <v>1852</v>
      </c>
      <c r="D170" s="441" t="s">
        <v>444</v>
      </c>
      <c r="E170" s="441" t="s">
        <v>444</v>
      </c>
      <c r="F170" s="441" t="s">
        <v>444</v>
      </c>
      <c r="G170" s="441" t="s">
        <v>444</v>
      </c>
      <c r="H170" s="441" t="s">
        <v>444</v>
      </c>
      <c r="I170" s="491" t="s">
        <v>1852</v>
      </c>
      <c r="J170" s="441" t="s">
        <v>444</v>
      </c>
      <c r="K170" s="441" t="s">
        <v>444</v>
      </c>
      <c r="L170" s="499" t="s">
        <v>444</v>
      </c>
    </row>
    <row r="171" spans="1:12" s="160" customFormat="1" ht="39.75" thickTop="1" thickBot="1">
      <c r="A171" s="445" t="s">
        <v>922</v>
      </c>
      <c r="B171" s="442" t="s">
        <v>924</v>
      </c>
      <c r="C171" s="441" t="s">
        <v>1853</v>
      </c>
      <c r="D171" s="441" t="s">
        <v>444</v>
      </c>
      <c r="E171" s="441" t="s">
        <v>444</v>
      </c>
      <c r="F171" s="441" t="s">
        <v>444</v>
      </c>
      <c r="G171" s="441" t="s">
        <v>444</v>
      </c>
      <c r="H171" s="491" t="s">
        <v>1853</v>
      </c>
      <c r="I171" s="441" t="s">
        <v>444</v>
      </c>
      <c r="J171" s="441" t="s">
        <v>444</v>
      </c>
      <c r="K171" s="441" t="s">
        <v>444</v>
      </c>
      <c r="L171" s="499" t="s">
        <v>444</v>
      </c>
    </row>
    <row r="172" spans="1:12" s="160" customFormat="1" ht="27" thickTop="1" thickBot="1">
      <c r="A172" s="445" t="s">
        <v>925</v>
      </c>
      <c r="B172" s="442" t="s">
        <v>927</v>
      </c>
      <c r="C172" s="441" t="s">
        <v>1854</v>
      </c>
      <c r="D172" s="441" t="s">
        <v>444</v>
      </c>
      <c r="E172" s="441" t="s">
        <v>444</v>
      </c>
      <c r="F172" s="441" t="s">
        <v>444</v>
      </c>
      <c r="G172" s="441" t="s">
        <v>444</v>
      </c>
      <c r="H172" s="441" t="s">
        <v>444</v>
      </c>
      <c r="I172" s="491" t="s">
        <v>1854</v>
      </c>
      <c r="J172" s="441" t="s">
        <v>444</v>
      </c>
      <c r="K172" s="441" t="s">
        <v>444</v>
      </c>
      <c r="L172" s="499" t="s">
        <v>444</v>
      </c>
    </row>
    <row r="173" spans="1:12" s="160" customFormat="1" ht="39.75" thickTop="1" thickBot="1">
      <c r="A173" s="445" t="s">
        <v>928</v>
      </c>
      <c r="B173" s="442" t="s">
        <v>930</v>
      </c>
      <c r="C173" s="441" t="s">
        <v>1855</v>
      </c>
      <c r="D173" s="441" t="s">
        <v>444</v>
      </c>
      <c r="E173" s="441" t="s">
        <v>444</v>
      </c>
      <c r="F173" s="441" t="s">
        <v>444</v>
      </c>
      <c r="G173" s="441" t="s">
        <v>444</v>
      </c>
      <c r="H173" s="441" t="s">
        <v>444</v>
      </c>
      <c r="I173" s="491" t="s">
        <v>1856</v>
      </c>
      <c r="J173" s="491" t="s">
        <v>1856</v>
      </c>
      <c r="K173" s="441" t="s">
        <v>444</v>
      </c>
      <c r="L173" s="499" t="s">
        <v>444</v>
      </c>
    </row>
    <row r="174" spans="1:12" s="160" customFormat="1" ht="39.75" thickTop="1" thickBot="1">
      <c r="A174" s="445" t="s">
        <v>931</v>
      </c>
      <c r="B174" s="442" t="s">
        <v>933</v>
      </c>
      <c r="C174" s="441" t="s">
        <v>1857</v>
      </c>
      <c r="D174" s="441" t="s">
        <v>444</v>
      </c>
      <c r="E174" s="441" t="s">
        <v>444</v>
      </c>
      <c r="F174" s="441" t="s">
        <v>444</v>
      </c>
      <c r="G174" s="441" t="s">
        <v>444</v>
      </c>
      <c r="H174" s="441" t="s">
        <v>444</v>
      </c>
      <c r="I174" s="491" t="s">
        <v>1858</v>
      </c>
      <c r="J174" s="491" t="s">
        <v>1858</v>
      </c>
      <c r="K174" s="441" t="s">
        <v>444</v>
      </c>
      <c r="L174" s="499" t="s">
        <v>444</v>
      </c>
    </row>
    <row r="175" spans="1:12" s="160" customFormat="1" ht="39.75" thickTop="1" thickBot="1">
      <c r="A175" s="445" t="s">
        <v>934</v>
      </c>
      <c r="B175" s="442" t="s">
        <v>936</v>
      </c>
      <c r="C175" s="441" t="s">
        <v>1859</v>
      </c>
      <c r="D175" s="441" t="s">
        <v>444</v>
      </c>
      <c r="E175" s="441" t="s">
        <v>444</v>
      </c>
      <c r="F175" s="441" t="s">
        <v>444</v>
      </c>
      <c r="G175" s="441" t="s">
        <v>444</v>
      </c>
      <c r="H175" s="441" t="s">
        <v>444</v>
      </c>
      <c r="I175" s="491" t="s">
        <v>1860</v>
      </c>
      <c r="J175" s="491" t="s">
        <v>1860</v>
      </c>
      <c r="K175" s="441" t="s">
        <v>444</v>
      </c>
      <c r="L175" s="499" t="s">
        <v>444</v>
      </c>
    </row>
    <row r="176" spans="1:12" s="160" customFormat="1" ht="39.75" thickTop="1" thickBot="1">
      <c r="A176" s="445" t="s">
        <v>937</v>
      </c>
      <c r="B176" s="442" t="s">
        <v>939</v>
      </c>
      <c r="C176" s="441" t="s">
        <v>1861</v>
      </c>
      <c r="D176" s="441" t="s">
        <v>444</v>
      </c>
      <c r="E176" s="441" t="s">
        <v>444</v>
      </c>
      <c r="F176" s="441" t="s">
        <v>444</v>
      </c>
      <c r="G176" s="441" t="s">
        <v>444</v>
      </c>
      <c r="H176" s="441" t="s">
        <v>444</v>
      </c>
      <c r="I176" s="491" t="s">
        <v>1862</v>
      </c>
      <c r="J176" s="491" t="s">
        <v>1862</v>
      </c>
      <c r="K176" s="441" t="s">
        <v>444</v>
      </c>
      <c r="L176" s="499" t="s">
        <v>444</v>
      </c>
    </row>
    <row r="177" spans="1:12" s="160" customFormat="1" ht="27" thickTop="1" thickBot="1">
      <c r="A177" s="445" t="s">
        <v>940</v>
      </c>
      <c r="B177" s="442" t="s">
        <v>942</v>
      </c>
      <c r="C177" s="441" t="s">
        <v>1863</v>
      </c>
      <c r="D177" s="441" t="s">
        <v>444</v>
      </c>
      <c r="E177" s="441" t="s">
        <v>444</v>
      </c>
      <c r="F177" s="441" t="s">
        <v>444</v>
      </c>
      <c r="G177" s="441" t="s">
        <v>444</v>
      </c>
      <c r="H177" s="441" t="s">
        <v>444</v>
      </c>
      <c r="I177" s="441" t="s">
        <v>444</v>
      </c>
      <c r="J177" s="441" t="s">
        <v>444</v>
      </c>
      <c r="K177" s="491" t="s">
        <v>1863</v>
      </c>
      <c r="L177" s="499" t="s">
        <v>444</v>
      </c>
    </row>
    <row r="178" spans="1:12" s="160" customFormat="1" ht="27" thickTop="1" thickBot="1">
      <c r="A178" s="445" t="s">
        <v>943</v>
      </c>
      <c r="B178" s="442" t="s">
        <v>945</v>
      </c>
      <c r="C178" s="441" t="s">
        <v>1864</v>
      </c>
      <c r="D178" s="441" t="s">
        <v>444</v>
      </c>
      <c r="E178" s="441" t="s">
        <v>444</v>
      </c>
      <c r="F178" s="441" t="s">
        <v>444</v>
      </c>
      <c r="G178" s="441" t="s">
        <v>444</v>
      </c>
      <c r="H178" s="441" t="s">
        <v>444</v>
      </c>
      <c r="I178" s="441" t="s">
        <v>444</v>
      </c>
      <c r="J178" s="441" t="s">
        <v>444</v>
      </c>
      <c r="K178" s="491" t="s">
        <v>1864</v>
      </c>
      <c r="L178" s="499" t="s">
        <v>444</v>
      </c>
    </row>
    <row r="179" spans="1:12" s="160" customFormat="1" ht="27" thickTop="1" thickBot="1">
      <c r="A179" s="445" t="s">
        <v>946</v>
      </c>
      <c r="B179" s="442" t="s">
        <v>948</v>
      </c>
      <c r="C179" s="441" t="s">
        <v>1865</v>
      </c>
      <c r="D179" s="441" t="s">
        <v>444</v>
      </c>
      <c r="E179" s="441" t="s">
        <v>444</v>
      </c>
      <c r="F179" s="441" t="s">
        <v>444</v>
      </c>
      <c r="G179" s="441" t="s">
        <v>444</v>
      </c>
      <c r="H179" s="441" t="s">
        <v>444</v>
      </c>
      <c r="I179" s="441" t="s">
        <v>444</v>
      </c>
      <c r="J179" s="441" t="s">
        <v>444</v>
      </c>
      <c r="K179" s="491" t="s">
        <v>1865</v>
      </c>
      <c r="L179" s="499" t="s">
        <v>444</v>
      </c>
    </row>
    <row r="180" spans="1:12" s="160" customFormat="1" ht="39.75" thickTop="1" thickBot="1">
      <c r="A180" s="445" t="s">
        <v>949</v>
      </c>
      <c r="B180" s="442" t="s">
        <v>951</v>
      </c>
      <c r="C180" s="441" t="s">
        <v>1866</v>
      </c>
      <c r="D180" s="441" t="s">
        <v>444</v>
      </c>
      <c r="E180" s="441" t="s">
        <v>444</v>
      </c>
      <c r="F180" s="441" t="s">
        <v>444</v>
      </c>
      <c r="G180" s="441" t="s">
        <v>444</v>
      </c>
      <c r="H180" s="441" t="s">
        <v>444</v>
      </c>
      <c r="I180" s="441" t="s">
        <v>444</v>
      </c>
      <c r="J180" s="441" t="s">
        <v>444</v>
      </c>
      <c r="K180" s="491" t="s">
        <v>1866</v>
      </c>
      <c r="L180" s="499" t="s">
        <v>444</v>
      </c>
    </row>
    <row r="181" spans="1:12" s="160" customFormat="1" ht="27" thickTop="1" thickBot="1">
      <c r="A181" s="445" t="s">
        <v>952</v>
      </c>
      <c r="B181" s="442" t="s">
        <v>954</v>
      </c>
      <c r="C181" s="441" t="s">
        <v>1867</v>
      </c>
      <c r="D181" s="441" t="s">
        <v>444</v>
      </c>
      <c r="E181" s="441" t="s">
        <v>444</v>
      </c>
      <c r="F181" s="441" t="s">
        <v>444</v>
      </c>
      <c r="G181" s="441" t="s">
        <v>444</v>
      </c>
      <c r="H181" s="441" t="s">
        <v>444</v>
      </c>
      <c r="I181" s="441" t="s">
        <v>444</v>
      </c>
      <c r="J181" s="441" t="s">
        <v>444</v>
      </c>
      <c r="K181" s="491" t="s">
        <v>1867</v>
      </c>
      <c r="L181" s="499" t="s">
        <v>444</v>
      </c>
    </row>
    <row r="182" spans="1:12" s="160" customFormat="1" ht="27" thickTop="1" thickBot="1">
      <c r="A182" s="445" t="s">
        <v>955</v>
      </c>
      <c r="B182" s="442" t="s">
        <v>957</v>
      </c>
      <c r="C182" s="441" t="s">
        <v>1868</v>
      </c>
      <c r="D182" s="441" t="s">
        <v>444</v>
      </c>
      <c r="E182" s="441" t="s">
        <v>444</v>
      </c>
      <c r="F182" s="441" t="s">
        <v>444</v>
      </c>
      <c r="G182" s="441" t="s">
        <v>444</v>
      </c>
      <c r="H182" s="441" t="s">
        <v>444</v>
      </c>
      <c r="I182" s="441" t="s">
        <v>444</v>
      </c>
      <c r="J182" s="441" t="s">
        <v>444</v>
      </c>
      <c r="K182" s="491" t="s">
        <v>1868</v>
      </c>
      <c r="L182" s="499" t="s">
        <v>444</v>
      </c>
    </row>
    <row r="183" spans="1:12" s="160" customFormat="1" ht="39.75" thickTop="1" thickBot="1">
      <c r="A183" s="445" t="s">
        <v>958</v>
      </c>
      <c r="B183" s="442" t="s">
        <v>960</v>
      </c>
      <c r="C183" s="441" t="s">
        <v>1869</v>
      </c>
      <c r="D183" s="441" t="s">
        <v>444</v>
      </c>
      <c r="E183" s="441" t="s">
        <v>444</v>
      </c>
      <c r="F183" s="441" t="s">
        <v>444</v>
      </c>
      <c r="G183" s="441" t="s">
        <v>444</v>
      </c>
      <c r="H183" s="441" t="s">
        <v>444</v>
      </c>
      <c r="I183" s="441" t="s">
        <v>444</v>
      </c>
      <c r="J183" s="441" t="s">
        <v>444</v>
      </c>
      <c r="K183" s="441" t="s">
        <v>444</v>
      </c>
      <c r="L183" s="497" t="s">
        <v>1869</v>
      </c>
    </row>
    <row r="184" spans="1:12" s="160" customFormat="1" ht="39.75" thickTop="1" thickBot="1">
      <c r="A184" s="445" t="s">
        <v>961</v>
      </c>
      <c r="B184" s="442" t="s">
        <v>963</v>
      </c>
      <c r="C184" s="441" t="s">
        <v>1870</v>
      </c>
      <c r="D184" s="441" t="s">
        <v>444</v>
      </c>
      <c r="E184" s="441" t="s">
        <v>444</v>
      </c>
      <c r="F184" s="441" t="s">
        <v>444</v>
      </c>
      <c r="G184" s="441" t="s">
        <v>444</v>
      </c>
      <c r="H184" s="441" t="s">
        <v>444</v>
      </c>
      <c r="I184" s="441" t="s">
        <v>444</v>
      </c>
      <c r="J184" s="441" t="s">
        <v>444</v>
      </c>
      <c r="K184" s="491" t="s">
        <v>1871</v>
      </c>
      <c r="L184" s="497" t="s">
        <v>1871</v>
      </c>
    </row>
    <row r="185" spans="1:12" s="160" customFormat="1" ht="39.75" thickTop="1" thickBot="1">
      <c r="A185" s="445" t="s">
        <v>964</v>
      </c>
      <c r="B185" s="442" t="s">
        <v>966</v>
      </c>
      <c r="C185" s="441" t="s">
        <v>1872</v>
      </c>
      <c r="D185" s="441" t="s">
        <v>444</v>
      </c>
      <c r="E185" s="441" t="s">
        <v>444</v>
      </c>
      <c r="F185" s="441" t="s">
        <v>444</v>
      </c>
      <c r="G185" s="441" t="s">
        <v>444</v>
      </c>
      <c r="H185" s="441" t="s">
        <v>444</v>
      </c>
      <c r="I185" s="441" t="s">
        <v>444</v>
      </c>
      <c r="J185" s="441" t="s">
        <v>444</v>
      </c>
      <c r="K185" s="441" t="s">
        <v>444</v>
      </c>
      <c r="L185" s="497" t="s">
        <v>1872</v>
      </c>
    </row>
    <row r="186" spans="1:12" ht="27" thickTop="1" thickBot="1">
      <c r="A186" s="274" t="s">
        <v>967</v>
      </c>
      <c r="B186" s="255" t="s">
        <v>109</v>
      </c>
      <c r="C186" s="256" t="s">
        <v>1873</v>
      </c>
      <c r="D186" s="256" t="s">
        <v>444</v>
      </c>
      <c r="E186" s="256" t="s">
        <v>444</v>
      </c>
      <c r="F186" s="256" t="s">
        <v>444</v>
      </c>
      <c r="G186" s="272" t="s">
        <v>1874</v>
      </c>
      <c r="H186" s="256" t="s">
        <v>444</v>
      </c>
      <c r="I186" s="256" t="s">
        <v>444</v>
      </c>
      <c r="J186" s="256" t="s">
        <v>444</v>
      </c>
      <c r="K186" s="272" t="s">
        <v>1875</v>
      </c>
      <c r="L186" s="500" t="s">
        <v>1876</v>
      </c>
    </row>
    <row r="187" spans="1:12" s="160" customFormat="1" ht="27" thickTop="1" thickBot="1">
      <c r="A187" s="445" t="s">
        <v>968</v>
      </c>
      <c r="B187" s="442" t="s">
        <v>970</v>
      </c>
      <c r="C187" s="441" t="s">
        <v>1177</v>
      </c>
      <c r="D187" s="441" t="s">
        <v>444</v>
      </c>
      <c r="E187" s="441" t="s">
        <v>444</v>
      </c>
      <c r="F187" s="441" t="s">
        <v>444</v>
      </c>
      <c r="G187" s="441" t="s">
        <v>444</v>
      </c>
      <c r="H187" s="441" t="s">
        <v>444</v>
      </c>
      <c r="I187" s="441" t="s">
        <v>444</v>
      </c>
      <c r="J187" s="441" t="s">
        <v>444</v>
      </c>
      <c r="K187" s="441" t="s">
        <v>444</v>
      </c>
      <c r="L187" s="497" t="s">
        <v>1177</v>
      </c>
    </row>
    <row r="188" spans="1:12" s="160" customFormat="1" ht="27" thickTop="1" thickBot="1">
      <c r="A188" s="445" t="s">
        <v>971</v>
      </c>
      <c r="B188" s="442" t="s">
        <v>404</v>
      </c>
      <c r="C188" s="441" t="s">
        <v>1877</v>
      </c>
      <c r="D188" s="441" t="s">
        <v>444</v>
      </c>
      <c r="E188" s="441" t="s">
        <v>444</v>
      </c>
      <c r="F188" s="441" t="s">
        <v>444</v>
      </c>
      <c r="G188" s="491" t="s">
        <v>1878</v>
      </c>
      <c r="H188" s="441" t="s">
        <v>444</v>
      </c>
      <c r="I188" s="441" t="s">
        <v>444</v>
      </c>
      <c r="J188" s="441" t="s">
        <v>444</v>
      </c>
      <c r="K188" s="491" t="s">
        <v>1878</v>
      </c>
      <c r="L188" s="499" t="s">
        <v>444</v>
      </c>
    </row>
    <row r="189" spans="1:12" s="160" customFormat="1" ht="27" thickTop="1" thickBot="1">
      <c r="A189" s="445" t="s">
        <v>973</v>
      </c>
      <c r="B189" s="442" t="s">
        <v>405</v>
      </c>
      <c r="C189" s="441" t="s">
        <v>1879</v>
      </c>
      <c r="D189" s="441" t="s">
        <v>444</v>
      </c>
      <c r="E189" s="441" t="s">
        <v>444</v>
      </c>
      <c r="F189" s="441" t="s">
        <v>444</v>
      </c>
      <c r="G189" s="491" t="s">
        <v>1880</v>
      </c>
      <c r="H189" s="441" t="s">
        <v>444</v>
      </c>
      <c r="I189" s="441" t="s">
        <v>444</v>
      </c>
      <c r="J189" s="441" t="s">
        <v>444</v>
      </c>
      <c r="K189" s="491" t="s">
        <v>1880</v>
      </c>
      <c r="L189" s="499" t="s">
        <v>444</v>
      </c>
    </row>
    <row r="190" spans="1:12" s="160" customFormat="1" ht="27" thickTop="1" thickBot="1">
      <c r="A190" s="445" t="s">
        <v>975</v>
      </c>
      <c r="B190" s="442" t="s">
        <v>977</v>
      </c>
      <c r="C190" s="441" t="s">
        <v>1881</v>
      </c>
      <c r="D190" s="441" t="s">
        <v>444</v>
      </c>
      <c r="E190" s="441" t="s">
        <v>444</v>
      </c>
      <c r="F190" s="441" t="s">
        <v>444</v>
      </c>
      <c r="G190" s="491" t="s">
        <v>1882</v>
      </c>
      <c r="H190" s="441" t="s">
        <v>444</v>
      </c>
      <c r="I190" s="441" t="s">
        <v>444</v>
      </c>
      <c r="J190" s="441" t="s">
        <v>444</v>
      </c>
      <c r="K190" s="491" t="s">
        <v>1882</v>
      </c>
      <c r="L190" s="499" t="s">
        <v>444</v>
      </c>
    </row>
    <row r="191" spans="1:12" s="160" customFormat="1" ht="27" thickTop="1" thickBot="1">
      <c r="A191" s="445" t="s">
        <v>978</v>
      </c>
      <c r="B191" s="442" t="s">
        <v>980</v>
      </c>
      <c r="C191" s="441" t="s">
        <v>1817</v>
      </c>
      <c r="D191" s="441" t="s">
        <v>444</v>
      </c>
      <c r="E191" s="441" t="s">
        <v>444</v>
      </c>
      <c r="F191" s="441" t="s">
        <v>444</v>
      </c>
      <c r="G191" s="491" t="s">
        <v>1817</v>
      </c>
      <c r="H191" s="441" t="s">
        <v>444</v>
      </c>
      <c r="I191" s="441" t="s">
        <v>444</v>
      </c>
      <c r="J191" s="441" t="s">
        <v>444</v>
      </c>
      <c r="K191" s="441" t="s">
        <v>444</v>
      </c>
      <c r="L191" s="499" t="s">
        <v>444</v>
      </c>
    </row>
    <row r="192" spans="1:12" s="160" customFormat="1" ht="27" thickTop="1" thickBot="1">
      <c r="A192" s="445" t="s">
        <v>981</v>
      </c>
      <c r="B192" s="442" t="s">
        <v>983</v>
      </c>
      <c r="C192" s="441" t="s">
        <v>1883</v>
      </c>
      <c r="D192" s="441" t="s">
        <v>444</v>
      </c>
      <c r="E192" s="441" t="s">
        <v>444</v>
      </c>
      <c r="F192" s="441" t="s">
        <v>444</v>
      </c>
      <c r="G192" s="441" t="s">
        <v>444</v>
      </c>
      <c r="H192" s="441" t="s">
        <v>444</v>
      </c>
      <c r="I192" s="441" t="s">
        <v>444</v>
      </c>
      <c r="J192" s="441" t="s">
        <v>444</v>
      </c>
      <c r="K192" s="491" t="s">
        <v>1883</v>
      </c>
      <c r="L192" s="499" t="s">
        <v>444</v>
      </c>
    </row>
    <row r="193" spans="1:12" s="160" customFormat="1" ht="27" thickTop="1" thickBot="1">
      <c r="A193" s="445" t="s">
        <v>984</v>
      </c>
      <c r="B193" s="442" t="s">
        <v>986</v>
      </c>
      <c r="C193" s="441" t="s">
        <v>1884</v>
      </c>
      <c r="D193" s="441" t="s">
        <v>444</v>
      </c>
      <c r="E193" s="441" t="s">
        <v>444</v>
      </c>
      <c r="F193" s="441" t="s">
        <v>444</v>
      </c>
      <c r="G193" s="491" t="s">
        <v>1884</v>
      </c>
      <c r="H193" s="441" t="s">
        <v>444</v>
      </c>
      <c r="I193" s="441" t="s">
        <v>444</v>
      </c>
      <c r="J193" s="441" t="s">
        <v>444</v>
      </c>
      <c r="K193" s="441" t="s">
        <v>444</v>
      </c>
      <c r="L193" s="499" t="s">
        <v>444</v>
      </c>
    </row>
    <row r="194" spans="1:12" s="160" customFormat="1" ht="27" thickTop="1" thickBot="1">
      <c r="A194" s="445" t="s">
        <v>987</v>
      </c>
      <c r="B194" s="442" t="s">
        <v>989</v>
      </c>
      <c r="C194" s="441" t="s">
        <v>1885</v>
      </c>
      <c r="D194" s="441" t="s">
        <v>444</v>
      </c>
      <c r="E194" s="441" t="s">
        <v>444</v>
      </c>
      <c r="F194" s="441" t="s">
        <v>444</v>
      </c>
      <c r="G194" s="491" t="s">
        <v>1885</v>
      </c>
      <c r="H194" s="441" t="s">
        <v>444</v>
      </c>
      <c r="I194" s="441" t="s">
        <v>444</v>
      </c>
      <c r="J194" s="441" t="s">
        <v>444</v>
      </c>
      <c r="K194" s="441" t="s">
        <v>444</v>
      </c>
      <c r="L194" s="499" t="s">
        <v>444</v>
      </c>
    </row>
    <row r="195" spans="1:12" s="160" customFormat="1" ht="27" thickTop="1" thickBot="1">
      <c r="A195" s="445" t="s">
        <v>990</v>
      </c>
      <c r="B195" s="442" t="s">
        <v>992</v>
      </c>
      <c r="C195" s="441" t="s">
        <v>1886</v>
      </c>
      <c r="D195" s="441" t="s">
        <v>444</v>
      </c>
      <c r="E195" s="441" t="s">
        <v>444</v>
      </c>
      <c r="F195" s="441" t="s">
        <v>444</v>
      </c>
      <c r="G195" s="441" t="s">
        <v>444</v>
      </c>
      <c r="H195" s="441" t="s">
        <v>444</v>
      </c>
      <c r="I195" s="441" t="s">
        <v>444</v>
      </c>
      <c r="J195" s="441" t="s">
        <v>444</v>
      </c>
      <c r="K195" s="491" t="s">
        <v>1886</v>
      </c>
      <c r="L195" s="499" t="s">
        <v>444</v>
      </c>
    </row>
    <row r="196" spans="1:12" ht="27" thickTop="1" thickBot="1">
      <c r="A196" s="274" t="s">
        <v>993</v>
      </c>
      <c r="B196" s="255" t="s">
        <v>115</v>
      </c>
      <c r="C196" s="256" t="s">
        <v>1887</v>
      </c>
      <c r="D196" s="256" t="s">
        <v>444</v>
      </c>
      <c r="E196" s="256" t="s">
        <v>444</v>
      </c>
      <c r="F196" s="256" t="s">
        <v>444</v>
      </c>
      <c r="G196" s="256" t="s">
        <v>444</v>
      </c>
      <c r="H196" s="256" t="s">
        <v>444</v>
      </c>
      <c r="I196" s="256" t="s">
        <v>444</v>
      </c>
      <c r="J196" s="272" t="s">
        <v>1888</v>
      </c>
      <c r="K196" s="272" t="s">
        <v>1889</v>
      </c>
      <c r="L196" s="500" t="s">
        <v>1890</v>
      </c>
    </row>
    <row r="197" spans="1:12" s="160" customFormat="1" ht="27" thickTop="1" thickBot="1">
      <c r="A197" s="445" t="s">
        <v>994</v>
      </c>
      <c r="B197" s="442" t="s">
        <v>996</v>
      </c>
      <c r="C197" s="441" t="s">
        <v>1891</v>
      </c>
      <c r="D197" s="441" t="s">
        <v>444</v>
      </c>
      <c r="E197" s="441" t="s">
        <v>444</v>
      </c>
      <c r="F197" s="441" t="s">
        <v>444</v>
      </c>
      <c r="G197" s="441" t="s">
        <v>444</v>
      </c>
      <c r="H197" s="441" t="s">
        <v>444</v>
      </c>
      <c r="I197" s="441" t="s">
        <v>444</v>
      </c>
      <c r="J197" s="441" t="s">
        <v>444</v>
      </c>
      <c r="K197" s="441" t="s">
        <v>444</v>
      </c>
      <c r="L197" s="497" t="s">
        <v>1891</v>
      </c>
    </row>
    <row r="198" spans="1:12" s="160" customFormat="1" ht="27" thickTop="1" thickBot="1">
      <c r="A198" s="445" t="s">
        <v>997</v>
      </c>
      <c r="B198" s="442" t="s">
        <v>999</v>
      </c>
      <c r="C198" s="441" t="s">
        <v>1892</v>
      </c>
      <c r="D198" s="441" t="s">
        <v>444</v>
      </c>
      <c r="E198" s="441" t="s">
        <v>444</v>
      </c>
      <c r="F198" s="441" t="s">
        <v>444</v>
      </c>
      <c r="G198" s="441" t="s">
        <v>444</v>
      </c>
      <c r="H198" s="441" t="s">
        <v>444</v>
      </c>
      <c r="I198" s="441" t="s">
        <v>444</v>
      </c>
      <c r="J198" s="441" t="s">
        <v>444</v>
      </c>
      <c r="K198" s="441" t="s">
        <v>444</v>
      </c>
      <c r="L198" s="497" t="s">
        <v>1892</v>
      </c>
    </row>
    <row r="199" spans="1:12" s="160" customFormat="1" ht="27" thickTop="1" thickBot="1">
      <c r="A199" s="445" t="s">
        <v>1000</v>
      </c>
      <c r="B199" s="442" t="s">
        <v>1002</v>
      </c>
      <c r="C199" s="441" t="s">
        <v>1893</v>
      </c>
      <c r="D199" s="441" t="s">
        <v>444</v>
      </c>
      <c r="E199" s="441" t="s">
        <v>444</v>
      </c>
      <c r="F199" s="441" t="s">
        <v>444</v>
      </c>
      <c r="G199" s="441" t="s">
        <v>444</v>
      </c>
      <c r="H199" s="441" t="s">
        <v>444</v>
      </c>
      <c r="I199" s="441" t="s">
        <v>444</v>
      </c>
      <c r="J199" s="441" t="s">
        <v>444</v>
      </c>
      <c r="K199" s="441" t="s">
        <v>444</v>
      </c>
      <c r="L199" s="497" t="s">
        <v>1893</v>
      </c>
    </row>
    <row r="200" spans="1:12" s="160" customFormat="1" ht="27" thickTop="1" thickBot="1">
      <c r="A200" s="445" t="s">
        <v>1003</v>
      </c>
      <c r="B200" s="442" t="s">
        <v>1005</v>
      </c>
      <c r="C200" s="441" t="s">
        <v>1894</v>
      </c>
      <c r="D200" s="441" t="s">
        <v>444</v>
      </c>
      <c r="E200" s="441" t="s">
        <v>444</v>
      </c>
      <c r="F200" s="441" t="s">
        <v>444</v>
      </c>
      <c r="G200" s="441" t="s">
        <v>444</v>
      </c>
      <c r="H200" s="441" t="s">
        <v>444</v>
      </c>
      <c r="I200" s="441" t="s">
        <v>444</v>
      </c>
      <c r="J200" s="491" t="s">
        <v>1895</v>
      </c>
      <c r="K200" s="491" t="s">
        <v>1895</v>
      </c>
      <c r="L200" s="499" t="s">
        <v>444</v>
      </c>
    </row>
    <row r="201" spans="1:12" s="160" customFormat="1" ht="39.75" thickTop="1" thickBot="1">
      <c r="A201" s="445" t="s">
        <v>1006</v>
      </c>
      <c r="B201" s="442" t="s">
        <v>451</v>
      </c>
      <c r="C201" s="441" t="s">
        <v>1896</v>
      </c>
      <c r="D201" s="441" t="s">
        <v>444</v>
      </c>
      <c r="E201" s="441" t="s">
        <v>444</v>
      </c>
      <c r="F201" s="441" t="s">
        <v>444</v>
      </c>
      <c r="G201" s="441" t="s">
        <v>444</v>
      </c>
      <c r="H201" s="441" t="s">
        <v>444</v>
      </c>
      <c r="I201" s="441" t="s">
        <v>444</v>
      </c>
      <c r="J201" s="441" t="s">
        <v>444</v>
      </c>
      <c r="K201" s="491" t="s">
        <v>1896</v>
      </c>
      <c r="L201" s="499" t="s">
        <v>444</v>
      </c>
    </row>
    <row r="202" spans="1:12" s="160" customFormat="1" ht="27" thickTop="1" thickBot="1">
      <c r="A202" s="445" t="s">
        <v>1580</v>
      </c>
      <c r="B202" s="442" t="s">
        <v>1582</v>
      </c>
      <c r="C202" s="441" t="s">
        <v>1897</v>
      </c>
      <c r="D202" s="441" t="s">
        <v>444</v>
      </c>
      <c r="E202" s="441" t="s">
        <v>444</v>
      </c>
      <c r="F202" s="441" t="s">
        <v>444</v>
      </c>
      <c r="G202" s="441" t="s">
        <v>444</v>
      </c>
      <c r="H202" s="441" t="s">
        <v>444</v>
      </c>
      <c r="I202" s="441" t="s">
        <v>444</v>
      </c>
      <c r="J202" s="441" t="s">
        <v>444</v>
      </c>
      <c r="K202" s="491" t="s">
        <v>1897</v>
      </c>
      <c r="L202" s="499" t="s">
        <v>444</v>
      </c>
    </row>
    <row r="203" spans="1:12" s="160" customFormat="1" ht="27" thickTop="1" thickBot="1">
      <c r="A203" s="445" t="s">
        <v>1583</v>
      </c>
      <c r="B203" s="442" t="s">
        <v>1585</v>
      </c>
      <c r="C203" s="441" t="s">
        <v>1898</v>
      </c>
      <c r="D203" s="441" t="s">
        <v>444</v>
      </c>
      <c r="E203" s="441" t="s">
        <v>444</v>
      </c>
      <c r="F203" s="441" t="s">
        <v>444</v>
      </c>
      <c r="G203" s="441" t="s">
        <v>444</v>
      </c>
      <c r="H203" s="441" t="s">
        <v>444</v>
      </c>
      <c r="I203" s="441" t="s">
        <v>444</v>
      </c>
      <c r="J203" s="441" t="s">
        <v>444</v>
      </c>
      <c r="K203" s="491" t="s">
        <v>1898</v>
      </c>
      <c r="L203" s="499" t="s">
        <v>444</v>
      </c>
    </row>
    <row r="204" spans="1:12" s="160" customFormat="1" ht="27" thickTop="1" thickBot="1">
      <c r="A204" s="445" t="s">
        <v>1586</v>
      </c>
      <c r="B204" s="442" t="s">
        <v>1588</v>
      </c>
      <c r="C204" s="441" t="s">
        <v>1899</v>
      </c>
      <c r="D204" s="441" t="s">
        <v>444</v>
      </c>
      <c r="E204" s="441" t="s">
        <v>444</v>
      </c>
      <c r="F204" s="441" t="s">
        <v>444</v>
      </c>
      <c r="G204" s="441" t="s">
        <v>444</v>
      </c>
      <c r="H204" s="441" t="s">
        <v>444</v>
      </c>
      <c r="I204" s="441" t="s">
        <v>444</v>
      </c>
      <c r="J204" s="441" t="s">
        <v>444</v>
      </c>
      <c r="K204" s="441" t="s">
        <v>444</v>
      </c>
      <c r="L204" s="497" t="s">
        <v>1899</v>
      </c>
    </row>
    <row r="205" spans="1:12" s="160" customFormat="1" ht="27" thickTop="1" thickBot="1">
      <c r="A205" s="445" t="s">
        <v>1589</v>
      </c>
      <c r="B205" s="442" t="s">
        <v>1591</v>
      </c>
      <c r="C205" s="441" t="s">
        <v>1900</v>
      </c>
      <c r="D205" s="441" t="s">
        <v>444</v>
      </c>
      <c r="E205" s="441" t="s">
        <v>444</v>
      </c>
      <c r="F205" s="441" t="s">
        <v>444</v>
      </c>
      <c r="G205" s="441" t="s">
        <v>444</v>
      </c>
      <c r="H205" s="441" t="s">
        <v>444</v>
      </c>
      <c r="I205" s="441" t="s">
        <v>444</v>
      </c>
      <c r="J205" s="491" t="s">
        <v>1900</v>
      </c>
      <c r="K205" s="441" t="s">
        <v>444</v>
      </c>
      <c r="L205" s="499" t="s">
        <v>444</v>
      </c>
    </row>
    <row r="206" spans="1:12" ht="27" thickTop="1" thickBot="1">
      <c r="A206" s="274" t="s">
        <v>1008</v>
      </c>
      <c r="B206" s="255" t="s">
        <v>117</v>
      </c>
      <c r="C206" s="256" t="s">
        <v>1901</v>
      </c>
      <c r="D206" s="256" t="s">
        <v>444</v>
      </c>
      <c r="E206" s="256" t="s">
        <v>444</v>
      </c>
      <c r="F206" s="256" t="s">
        <v>444</v>
      </c>
      <c r="G206" s="256" t="s">
        <v>444</v>
      </c>
      <c r="H206" s="256" t="s">
        <v>444</v>
      </c>
      <c r="I206" s="256" t="s">
        <v>444</v>
      </c>
      <c r="J206" s="256" t="s">
        <v>444</v>
      </c>
      <c r="K206" s="256" t="s">
        <v>444</v>
      </c>
      <c r="L206" s="500" t="s">
        <v>1901</v>
      </c>
    </row>
    <row r="207" spans="1:12" s="160" customFormat="1" ht="27" thickTop="1" thickBot="1">
      <c r="A207" s="501" t="s">
        <v>1009</v>
      </c>
      <c r="B207" s="502" t="s">
        <v>1011</v>
      </c>
      <c r="C207" s="503" t="s">
        <v>1901</v>
      </c>
      <c r="D207" s="503" t="s">
        <v>444</v>
      </c>
      <c r="E207" s="503" t="s">
        <v>444</v>
      </c>
      <c r="F207" s="503" t="s">
        <v>444</v>
      </c>
      <c r="G207" s="503" t="s">
        <v>444</v>
      </c>
      <c r="H207" s="503" t="s">
        <v>444</v>
      </c>
      <c r="I207" s="503" t="s">
        <v>444</v>
      </c>
      <c r="J207" s="503" t="s">
        <v>444</v>
      </c>
      <c r="K207" s="503" t="s">
        <v>444</v>
      </c>
      <c r="L207" s="504" t="s">
        <v>1901</v>
      </c>
    </row>
    <row r="208" spans="1:12" ht="15.75" thickBot="1">
      <c r="A208" s="581" t="s">
        <v>1937</v>
      </c>
      <c r="B208" s="581"/>
      <c r="C208" s="492"/>
      <c r="D208" s="492" t="s">
        <v>1902</v>
      </c>
      <c r="E208" s="492" t="s">
        <v>1903</v>
      </c>
      <c r="F208" s="492" t="s">
        <v>1904</v>
      </c>
      <c r="G208" s="492" t="s">
        <v>1905</v>
      </c>
      <c r="H208" s="492" t="s">
        <v>1906</v>
      </c>
      <c r="I208" s="492" t="s">
        <v>1907</v>
      </c>
      <c r="J208" s="492" t="s">
        <v>1908</v>
      </c>
      <c r="K208" s="492" t="s">
        <v>1909</v>
      </c>
      <c r="L208" s="492" t="s">
        <v>1910</v>
      </c>
    </row>
    <row r="209" spans="1:12" ht="15.75" thickBot="1">
      <c r="A209" s="582" t="s">
        <v>1938</v>
      </c>
      <c r="B209" s="582"/>
      <c r="C209" s="493"/>
      <c r="D209" s="494" t="s">
        <v>1911</v>
      </c>
      <c r="E209" s="494" t="s">
        <v>1912</v>
      </c>
      <c r="F209" s="494" t="s">
        <v>1913</v>
      </c>
      <c r="G209" s="494" t="s">
        <v>1914</v>
      </c>
      <c r="H209" s="494" t="s">
        <v>1915</v>
      </c>
      <c r="I209" s="494" t="s">
        <v>1916</v>
      </c>
      <c r="J209" s="494" t="s">
        <v>1917</v>
      </c>
      <c r="K209" s="494" t="s">
        <v>1918</v>
      </c>
      <c r="L209" s="494" t="s">
        <v>1919</v>
      </c>
    </row>
    <row r="210" spans="1:12" ht="15.75" thickBot="1">
      <c r="A210" s="581" t="s">
        <v>1920</v>
      </c>
      <c r="B210" s="581"/>
      <c r="C210" s="492"/>
      <c r="D210" s="492" t="s">
        <v>1902</v>
      </c>
      <c r="E210" s="492" t="s">
        <v>1921</v>
      </c>
      <c r="F210" s="492" t="s">
        <v>1922</v>
      </c>
      <c r="G210" s="492" t="s">
        <v>1923</v>
      </c>
      <c r="H210" s="492" t="s">
        <v>1924</v>
      </c>
      <c r="I210" s="492" t="s">
        <v>1925</v>
      </c>
      <c r="J210" s="492" t="s">
        <v>1926</v>
      </c>
      <c r="K210" s="492" t="s">
        <v>1927</v>
      </c>
      <c r="L210" s="492" t="s">
        <v>1178</v>
      </c>
    </row>
    <row r="211" spans="1:12" ht="15.75" thickBot="1">
      <c r="A211" s="582" t="s">
        <v>1928</v>
      </c>
      <c r="B211" s="582"/>
      <c r="C211" s="493"/>
      <c r="D211" s="494" t="s">
        <v>1911</v>
      </c>
      <c r="E211" s="494" t="s">
        <v>1929</v>
      </c>
      <c r="F211" s="494" t="s">
        <v>1930</v>
      </c>
      <c r="G211" s="494" t="s">
        <v>1931</v>
      </c>
      <c r="H211" s="494" t="s">
        <v>1932</v>
      </c>
      <c r="I211" s="494" t="s">
        <v>1933</v>
      </c>
      <c r="J211" s="494" t="s">
        <v>1934</v>
      </c>
      <c r="K211" s="494" t="s">
        <v>1935</v>
      </c>
      <c r="L211" s="494" t="s">
        <v>1936</v>
      </c>
    </row>
  </sheetData>
  <mergeCells count="5">
    <mergeCell ref="A208:B208"/>
    <mergeCell ref="A209:B209"/>
    <mergeCell ref="A210:B210"/>
    <mergeCell ref="A211:B211"/>
    <mergeCell ref="A2:L2"/>
  </mergeCells>
  <printOptions horizontalCentered="1"/>
  <pageMargins left="0.51181102362204722" right="0.51181102362204722" top="0.78740157480314965" bottom="0.78740157480314965" header="0.19685039370078741" footer="0.31496062992125984"/>
  <pageSetup paperSize="9" scale="65" orientation="landscape" verticalDpi="360" r:id="rId1"/>
  <headerFooter>
    <oddHeader>&amp;L&amp;G&amp;R&amp;G</oddHeader>
    <oddFooter>&amp;RPágina &amp;P de &amp;N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L7"/>
  <sheetViews>
    <sheetView workbookViewId="0">
      <selection activeCell="P8" sqref="P8"/>
    </sheetView>
  </sheetViews>
  <sheetFormatPr defaultColWidth="9.140625" defaultRowHeight="15"/>
  <sheetData>
    <row r="1" spans="1:12" ht="18.75">
      <c r="A1" s="575" t="s">
        <v>323</v>
      </c>
      <c r="B1" s="575"/>
      <c r="C1" s="575"/>
      <c r="D1" s="575"/>
      <c r="E1" s="575"/>
      <c r="F1" s="575"/>
      <c r="G1" s="575"/>
      <c r="H1" s="575"/>
      <c r="I1" s="575"/>
      <c r="J1" s="575"/>
      <c r="K1" s="575"/>
      <c r="L1" s="319"/>
    </row>
    <row r="2" spans="1:12">
      <c r="A2" s="4" t="s">
        <v>331</v>
      </c>
      <c r="B2" s="4"/>
      <c r="C2" s="1"/>
      <c r="D2" s="2"/>
      <c r="E2" s="9"/>
      <c r="F2" s="9"/>
      <c r="G2" s="9"/>
      <c r="H2" s="9"/>
      <c r="I2" s="76"/>
    </row>
    <row r="3" spans="1:12">
      <c r="A3" s="4" t="s">
        <v>124</v>
      </c>
      <c r="B3" s="4"/>
      <c r="C3" s="4"/>
      <c r="D3" s="5"/>
      <c r="I3" s="80" t="s">
        <v>322</v>
      </c>
      <c r="J3" s="3"/>
      <c r="K3" s="3"/>
      <c r="L3" s="7"/>
    </row>
    <row r="4" spans="1:12">
      <c r="A4" s="4" t="s">
        <v>1195</v>
      </c>
      <c r="B4" s="4"/>
      <c r="C4" s="1"/>
      <c r="D4" s="5"/>
      <c r="E4" s="3"/>
      <c r="F4" s="3"/>
      <c r="I4" s="80" t="s">
        <v>1196</v>
      </c>
      <c r="J4" s="3"/>
      <c r="K4" s="34"/>
      <c r="L4" s="7"/>
    </row>
    <row r="5" spans="1:12">
      <c r="A5" s="4" t="s">
        <v>1530</v>
      </c>
      <c r="B5" s="4"/>
      <c r="C5" s="1"/>
      <c r="D5" s="5"/>
      <c r="E5" s="86"/>
      <c r="F5" s="3"/>
      <c r="J5" s="3"/>
      <c r="K5" s="3"/>
      <c r="L5" s="7"/>
    </row>
    <row r="6" spans="1:12">
      <c r="A6" s="79"/>
      <c r="B6" s="77"/>
      <c r="C6" s="78"/>
      <c r="D6" s="76"/>
      <c r="E6" s="76"/>
      <c r="F6" s="76"/>
      <c r="G6" s="76"/>
      <c r="H6" s="76"/>
      <c r="I6" s="76"/>
    </row>
    <row r="7" spans="1:12">
      <c r="A7" s="80"/>
      <c r="B7" s="77"/>
      <c r="C7" s="81"/>
      <c r="D7" s="76"/>
      <c r="E7" s="76"/>
      <c r="F7" s="76"/>
      <c r="G7" s="36"/>
      <c r="H7" s="82"/>
      <c r="I7" s="81"/>
      <c r="J7" s="83"/>
      <c r="K7" s="84"/>
      <c r="L7" s="85"/>
    </row>
  </sheetData>
  <mergeCells count="1">
    <mergeCell ref="A1:K1"/>
  </mergeCells>
  <printOptions horizontalCentered="1"/>
  <pageMargins left="0.51181102362204722" right="0.51181102362204722" top="1.3385826771653544" bottom="0.39370078740157483" header="0.31496062992125984" footer="0.31496062992125984"/>
  <pageSetup paperSize="9" scale="92" orientation="portrait"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dimension ref="A1:N33"/>
  <sheetViews>
    <sheetView tabSelected="1" workbookViewId="0">
      <selection activeCell="J6" sqref="J6"/>
    </sheetView>
  </sheetViews>
  <sheetFormatPr defaultColWidth="9.140625" defaultRowHeight="12"/>
  <cols>
    <col min="1" max="1" width="7.42578125" style="37" customWidth="1"/>
    <col min="2" max="2" width="52.140625" style="37" customWidth="1"/>
    <col min="3" max="3" width="7.5703125" style="37" customWidth="1"/>
    <col min="4" max="4" width="9.7109375" style="37" bestFit="1" customWidth="1"/>
    <col min="5" max="5" width="15.140625" style="37" customWidth="1"/>
    <col min="6" max="6" width="13.5703125" style="37" bestFit="1" customWidth="1"/>
    <col min="7" max="7" width="11.28515625" style="37" customWidth="1"/>
    <col min="8" max="8" width="12.5703125" style="37" customWidth="1"/>
    <col min="9" max="9" width="10.28515625" style="37" customWidth="1"/>
    <col min="10" max="10" width="13.7109375" style="37" customWidth="1"/>
    <col min="11" max="12" width="15.140625" style="37" customWidth="1"/>
    <col min="13" max="16384" width="9.140625" style="37"/>
  </cols>
  <sheetData>
    <row r="1" spans="1:14">
      <c r="B1" s="55"/>
      <c r="C1" s="55"/>
      <c r="D1" s="55"/>
      <c r="E1" s="55"/>
      <c r="F1" s="55"/>
      <c r="G1" s="55"/>
    </row>
    <row r="2" spans="1:14" ht="20.25">
      <c r="A2" s="588" t="s">
        <v>324</v>
      </c>
      <c r="B2" s="588"/>
      <c r="C2" s="588"/>
      <c r="D2" s="588"/>
      <c r="E2" s="588"/>
      <c r="F2" s="588"/>
      <c r="G2" s="588"/>
      <c r="I2" s="280"/>
      <c r="J2" s="280"/>
      <c r="K2" s="280"/>
      <c r="L2" s="280"/>
      <c r="M2" s="280"/>
    </row>
    <row r="3" spans="1:14">
      <c r="A3" s="56"/>
      <c r="B3" s="56"/>
      <c r="C3" s="56"/>
      <c r="D3" s="56"/>
      <c r="E3" s="56"/>
      <c r="F3" s="56"/>
      <c r="G3" s="56"/>
      <c r="I3" s="280"/>
      <c r="J3" s="280"/>
      <c r="K3" s="280"/>
      <c r="L3" s="280"/>
      <c r="M3" s="280"/>
    </row>
    <row r="4" spans="1:14" ht="12.75">
      <c r="A4" s="281" t="s">
        <v>1193</v>
      </c>
      <c r="B4" s="281"/>
      <c r="C4" s="248"/>
      <c r="D4" s="282"/>
      <c r="E4" s="283"/>
      <c r="F4" s="283"/>
      <c r="G4" s="284"/>
      <c r="H4" s="284"/>
      <c r="I4" s="280"/>
      <c r="J4" s="280"/>
      <c r="K4" s="280"/>
      <c r="L4" s="280"/>
      <c r="M4" s="280"/>
    </row>
    <row r="5" spans="1:14" ht="12.75">
      <c r="A5" s="281" t="s">
        <v>1013</v>
      </c>
      <c r="B5" s="281"/>
      <c r="C5" s="281"/>
      <c r="D5" s="245"/>
      <c r="F5" s="285"/>
      <c r="G5" s="284"/>
      <c r="H5" s="284"/>
      <c r="I5" s="280"/>
      <c r="J5" s="280"/>
      <c r="K5" s="280"/>
      <c r="L5" s="280"/>
    </row>
    <row r="6" spans="1:14" ht="12.75">
      <c r="A6" s="239" t="s">
        <v>1396</v>
      </c>
      <c r="B6" s="239"/>
      <c r="C6" s="286"/>
      <c r="D6" s="245"/>
      <c r="E6" s="246" t="s">
        <v>1401</v>
      </c>
      <c r="F6" s="36"/>
      <c r="G6" s="284"/>
      <c r="H6" s="284"/>
      <c r="I6" s="280"/>
      <c r="J6" s="280"/>
      <c r="K6" s="280"/>
      <c r="L6" s="280"/>
    </row>
    <row r="7" spans="1:14" ht="12.75" customHeight="1">
      <c r="A7" s="281" t="s">
        <v>1184</v>
      </c>
      <c r="B7" s="281"/>
      <c r="C7" s="36"/>
      <c r="D7" s="36"/>
      <c r="E7" s="287" t="s">
        <v>1185</v>
      </c>
      <c r="F7" s="589" t="s">
        <v>1186</v>
      </c>
      <c r="G7" s="589"/>
      <c r="H7" s="288"/>
      <c r="I7" s="280"/>
      <c r="J7" s="280"/>
      <c r="K7" s="280"/>
      <c r="L7" s="280"/>
      <c r="M7" s="280"/>
    </row>
    <row r="8" spans="1:14" ht="44.45" customHeight="1">
      <c r="A8" s="516" t="s">
        <v>1941</v>
      </c>
      <c r="B8" s="515"/>
      <c r="C8" s="318"/>
      <c r="D8" s="318"/>
      <c r="E8" s="289">
        <v>0.26679999999999998</v>
      </c>
      <c r="F8" s="590" t="s">
        <v>1194</v>
      </c>
      <c r="G8" s="590"/>
      <c r="H8" s="290"/>
      <c r="I8" s="280"/>
      <c r="J8" s="280"/>
      <c r="K8" s="280"/>
      <c r="L8" s="280"/>
      <c r="M8" s="280"/>
    </row>
    <row r="9" spans="1:14" ht="12.75" thickBot="1">
      <c r="I9" s="280"/>
      <c r="J9" s="280"/>
      <c r="K9" s="280"/>
      <c r="L9" s="280"/>
      <c r="M9" s="280"/>
    </row>
    <row r="10" spans="1:14" ht="36.75" thickBot="1">
      <c r="A10" s="57" t="s">
        <v>1</v>
      </c>
      <c r="B10" s="58" t="s">
        <v>227</v>
      </c>
      <c r="C10" s="58" t="s">
        <v>228</v>
      </c>
      <c r="D10" s="59" t="s">
        <v>5</v>
      </c>
      <c r="E10" s="59" t="s">
        <v>229</v>
      </c>
      <c r="F10" s="59" t="s">
        <v>230</v>
      </c>
      <c r="G10" s="59" t="s">
        <v>231</v>
      </c>
      <c r="I10" s="280"/>
      <c r="J10" s="291" t="s">
        <v>284</v>
      </c>
      <c r="K10" s="291">
        <f>'ANEXO-5_ORÇAMENTO'!H208</f>
        <v>6272078.1100000003</v>
      </c>
      <c r="L10" s="291">
        <f>K10*50%</f>
        <v>3136039.0550000002</v>
      </c>
      <c r="M10" s="280"/>
    </row>
    <row r="11" spans="1:14" s="63" customFormat="1" ht="84">
      <c r="A11" s="297" t="s">
        <v>1183</v>
      </c>
      <c r="B11" s="298" t="str">
        <f>'ANEXO-5_ORÇAMENTO'!D47</f>
        <v>PAREDE E/OU DIVISÓRIA FORMADA POR PERFIS E MÓDULOS DE PVC QUE INTEGRAM O SISTEMA CONSTRUTIVO INOVADOR EM CONCORETO/PVC DE ACORDO COM AS DIRETRIZES SINAT 004/VER.01 - SINAT DO MINISTÉRIO DO DESENVOLVIMENTO REGIONAL, INCLUSIVE FORNECIMENTO DOS MÓDULOS (PERFIL), ACESSÓRIOS E MONTAGEM.</v>
      </c>
      <c r="C11" s="60" t="s">
        <v>208</v>
      </c>
      <c r="D11" s="61">
        <f>'ANEXO-5_ORÇAMENTO'!F47</f>
        <v>1641.32</v>
      </c>
      <c r="E11" s="62">
        <f>'ANEXO-5_ORÇAMENTO'!H47</f>
        <v>1360539.38</v>
      </c>
      <c r="F11" s="299">
        <f>E11/K$10</f>
        <v>0.21692003131000545</v>
      </c>
      <c r="G11" s="300">
        <f>F11</f>
        <v>0.21692003131000545</v>
      </c>
      <c r="I11" s="292"/>
      <c r="J11" s="292"/>
      <c r="K11" s="293"/>
      <c r="L11" s="294"/>
      <c r="M11" s="295"/>
    </row>
    <row r="12" spans="1:14" s="63" customFormat="1" ht="60">
      <c r="A12" s="64" t="s">
        <v>1190</v>
      </c>
      <c r="B12" s="517" t="s">
        <v>1942</v>
      </c>
      <c r="C12" s="518" t="s">
        <v>228</v>
      </c>
      <c r="D12" s="519">
        <v>56</v>
      </c>
      <c r="E12" s="522">
        <v>128268.08</v>
      </c>
      <c r="F12" s="523">
        <f t="shared" ref="F12" si="0">E12/K$10</f>
        <v>2.0450650924690093E-2</v>
      </c>
      <c r="G12" s="65">
        <f>G11+F12</f>
        <v>0.23737068223469554</v>
      </c>
      <c r="I12" s="292"/>
      <c r="J12" s="292"/>
      <c r="K12" s="293"/>
      <c r="L12" s="293"/>
      <c r="M12" s="296"/>
      <c r="N12" s="67"/>
    </row>
    <row r="13" spans="1:14" s="63" customFormat="1" ht="48">
      <c r="A13" s="64" t="s">
        <v>1191</v>
      </c>
      <c r="B13" s="517" t="str">
        <f>'ANEXO-5_ORÇAMENTO'!D77</f>
        <v>TRAMA DE AÇO COMPOSTA POR TERÇAS PARA TELHADOS DE ATÉ 2 ÁGUAS PARA TELHA ONDULADA DE FIBROCIMENTO, METÁLICA, PLÁSTICA OU TERMOACÚSTICA, INCLUSO TRANSPORTE VERTICAL. AF_07/2019</v>
      </c>
      <c r="C13" s="518" t="s">
        <v>208</v>
      </c>
      <c r="D13" s="519">
        <f>'ANEXO-5_ORÇAMENTO'!F77</f>
        <v>1827.97</v>
      </c>
      <c r="E13" s="522">
        <f>'ANEXO-5_ORÇAMENTO'!H77</f>
        <v>137847.21</v>
      </c>
      <c r="F13" s="523">
        <f t="shared" ref="F13" si="1">E13/K$10</f>
        <v>2.1977916662137994E-2</v>
      </c>
      <c r="G13" s="65">
        <f>G12+F13</f>
        <v>0.25934859889683354</v>
      </c>
      <c r="I13" s="292"/>
      <c r="J13" s="292"/>
      <c r="K13" s="293"/>
      <c r="L13" s="293"/>
      <c r="M13" s="296"/>
      <c r="N13" s="67"/>
    </row>
    <row r="14" spans="1:14" s="63" customFormat="1" ht="24.75" thickBot="1">
      <c r="A14" s="301" t="s">
        <v>1192</v>
      </c>
      <c r="B14" s="302" t="str">
        <f>'ANEXO-5_ORÇAMENTO'!D78</f>
        <v>TELHAMENTO COM TELHA METÁLICA TERMOACÚSTICA E = 30 MM, COM ATÉ 2 ÁGUAS, INCLUSO IÇAMENTO. AF_07/2019</v>
      </c>
      <c r="C14" s="303" t="s">
        <v>208</v>
      </c>
      <c r="D14" s="304">
        <f>'ANEXO-5_ORÇAMENTO'!F78</f>
        <v>1827.97</v>
      </c>
      <c r="E14" s="305">
        <f>'ANEXO-5_ORÇAMENTO'!H78</f>
        <v>608129.05000000005</v>
      </c>
      <c r="F14" s="306">
        <f t="shared" ref="F14" si="2">E14/K$10</f>
        <v>9.6958143590466228E-2</v>
      </c>
      <c r="G14" s="307">
        <f>G13+F14</f>
        <v>0.35630674248729977</v>
      </c>
      <c r="I14" s="292"/>
      <c r="J14" s="292"/>
      <c r="K14" s="293"/>
      <c r="L14" s="293"/>
      <c r="M14" s="296"/>
      <c r="N14" s="67"/>
    </row>
    <row r="15" spans="1:14">
      <c r="D15" s="74"/>
    </row>
    <row r="17" spans="1:12" ht="18">
      <c r="A17" s="591" t="s">
        <v>1187</v>
      </c>
      <c r="B17" s="591"/>
      <c r="C17" s="591"/>
      <c r="D17" s="591"/>
      <c r="E17" s="591"/>
      <c r="F17" s="591"/>
      <c r="G17" s="591"/>
      <c r="I17" s="66"/>
      <c r="J17" s="66"/>
      <c r="K17" s="66"/>
      <c r="L17" s="68"/>
    </row>
    <row r="18" spans="1:12" ht="12.75" thickBot="1">
      <c r="A18" s="6"/>
      <c r="B18" s="6"/>
      <c r="C18" s="6"/>
      <c r="D18" s="6"/>
      <c r="E18" s="6"/>
      <c r="F18" s="6"/>
      <c r="G18" s="6"/>
    </row>
    <row r="19" spans="1:12" ht="24.75" thickBot="1">
      <c r="A19" s="69" t="s">
        <v>1</v>
      </c>
      <c r="B19" s="70" t="s">
        <v>227</v>
      </c>
      <c r="C19" s="70" t="s">
        <v>228</v>
      </c>
      <c r="D19" s="71" t="s">
        <v>5</v>
      </c>
      <c r="E19" s="72" t="s">
        <v>283</v>
      </c>
      <c r="F19" s="71" t="s">
        <v>229</v>
      </c>
      <c r="G19" s="71" t="s">
        <v>230</v>
      </c>
    </row>
    <row r="20" spans="1:12" ht="84">
      <c r="A20" s="297" t="s">
        <v>1183</v>
      </c>
      <c r="B20" s="298" t="str">
        <f>B11</f>
        <v>PAREDE E/OU DIVISÓRIA FORMADA POR PERFIS E MÓDULOS DE PVC QUE INTEGRAM O SISTEMA CONSTRUTIVO INOVADOR EM CONCORETO/PVC DE ACORDO COM AS DIRETRIZES SINAT 004/VER.01 - SINAT DO MINISTÉRIO DO DESENVOLVIMENTO REGIONAL, INCLUSIVE FORNECIMENTO DOS MÓDULOS (PERFIL), ACESSÓRIOS E MONTAGEM.</v>
      </c>
      <c r="C20" s="60" t="s">
        <v>208</v>
      </c>
      <c r="D20" s="61">
        <f>D11*20%</f>
        <v>328.26400000000001</v>
      </c>
      <c r="E20" s="308">
        <f>'ANEXO-5_ORÇAMENTO'!G47</f>
        <v>828.93</v>
      </c>
      <c r="F20" s="62">
        <f>D20*E20</f>
        <v>272107.87751999998</v>
      </c>
      <c r="G20" s="309">
        <f>D20/D11</f>
        <v>0.2</v>
      </c>
    </row>
    <row r="21" spans="1:12" ht="60">
      <c r="A21" s="64" t="s">
        <v>1190</v>
      </c>
      <c r="B21" s="517" t="str">
        <f>B12</f>
        <v>FABRICAÇÃO E INSTALAÇÃO DE TESOURA INTEIRA EM AÇO, VÃO DE 6 M A 10M , PARA TELHA ONDULADA DE FIBROCIMENTO, METÁLICA, PLÁSTICA OU TERMOACÚSTICA, INCLUSO IÇAMENTO. AF_12/2015 (SOMA DOS ITENS: 8.1 à 8.4).</v>
      </c>
      <c r="C21" s="518" t="s">
        <v>228</v>
      </c>
      <c r="D21" s="519">
        <f>D12*20%</f>
        <v>11.200000000000001</v>
      </c>
      <c r="E21" s="520">
        <v>2290.5014000000001</v>
      </c>
      <c r="F21" s="521">
        <f>D21*E21</f>
        <v>25653.615680000003</v>
      </c>
      <c r="G21" s="75">
        <f>D21/D12</f>
        <v>0.2</v>
      </c>
    </row>
    <row r="22" spans="1:12" ht="48">
      <c r="A22" s="64" t="s">
        <v>1191</v>
      </c>
      <c r="B22" s="517" t="str">
        <f>B13</f>
        <v>TRAMA DE AÇO COMPOSTA POR TERÇAS PARA TELHADOS DE ATÉ 2 ÁGUAS PARA TELHA ONDULADA DE FIBROCIMENTO, METÁLICA, PLÁSTICA OU TERMOACÚSTICA, INCLUSO TRANSPORTE VERTICAL. AF_07/2019</v>
      </c>
      <c r="C22" s="518" t="s">
        <v>208</v>
      </c>
      <c r="D22" s="519">
        <f>D13*20%</f>
        <v>365.59400000000005</v>
      </c>
      <c r="E22" s="520">
        <f>'ANEXO-5_ORÇAMENTO'!G77</f>
        <v>75.41</v>
      </c>
      <c r="F22" s="521">
        <f t="shared" ref="F22" si="3">D22*E22</f>
        <v>27569.443540000004</v>
      </c>
      <c r="G22" s="75">
        <f>D22/D13</f>
        <v>0.2</v>
      </c>
    </row>
    <row r="23" spans="1:12" ht="24.75" thickBot="1">
      <c r="A23" s="301" t="s">
        <v>1192</v>
      </c>
      <c r="B23" s="302" t="str">
        <f>B14</f>
        <v>TELHAMENTO COM TELHA METÁLICA TERMOACÚSTICA E = 30 MM, COM ATÉ 2 ÁGUAS, INCLUSO IÇAMENTO. AF_07/2019</v>
      </c>
      <c r="C23" s="303" t="s">
        <v>208</v>
      </c>
      <c r="D23" s="304">
        <v>365.59</v>
      </c>
      <c r="E23" s="310">
        <v>332.68</v>
      </c>
      <c r="F23" s="311">
        <f>D23*E23</f>
        <v>121624.48119999999</v>
      </c>
      <c r="G23" s="312">
        <f>D23/D14</f>
        <v>0.19999781178028084</v>
      </c>
    </row>
    <row r="24" spans="1:12">
      <c r="A24" s="73"/>
      <c r="B24" s="73"/>
      <c r="C24" s="73"/>
      <c r="D24" s="74"/>
      <c r="E24" s="74"/>
      <c r="F24" s="73"/>
      <c r="G24" s="73"/>
    </row>
    <row r="25" spans="1:12" ht="18">
      <c r="A25" s="591" t="s">
        <v>1188</v>
      </c>
      <c r="B25" s="591"/>
      <c r="C25" s="591"/>
      <c r="D25" s="591"/>
      <c r="E25" s="591"/>
      <c r="F25" s="591"/>
      <c r="G25" s="591"/>
    </row>
    <row r="26" spans="1:12" ht="12.75" thickBot="1"/>
    <row r="27" spans="1:12" ht="12.75" thickBot="1">
      <c r="A27" s="57" t="s">
        <v>1</v>
      </c>
      <c r="B27" s="583" t="s">
        <v>227</v>
      </c>
      <c r="C27" s="583"/>
      <c r="D27" s="583"/>
      <c r="E27" s="583"/>
      <c r="F27" s="583"/>
      <c r="G27" s="58" t="s">
        <v>228</v>
      </c>
    </row>
    <row r="28" spans="1:12" ht="37.5" customHeight="1">
      <c r="A28" s="297" t="s">
        <v>1183</v>
      </c>
      <c r="B28" s="584" t="str">
        <f>B20</f>
        <v>PAREDE E/OU DIVISÓRIA FORMADA POR PERFIS E MÓDULOS DE PVC QUE INTEGRAM O SISTEMA CONSTRUTIVO INOVADOR EM CONCORETO/PVC DE ACORDO COM AS DIRETRIZES SINAT 004/VER.01 - SINAT DO MINISTÉRIO DO DESENVOLVIMENTO REGIONAL, INCLUSIVE FORNECIMENTO DOS MÓDULOS (PERFIL), ACESSÓRIOS E MONTAGEM.</v>
      </c>
      <c r="C28" s="584"/>
      <c r="D28" s="584"/>
      <c r="E28" s="584"/>
      <c r="F28" s="584"/>
      <c r="G28" s="315" t="s">
        <v>208</v>
      </c>
    </row>
    <row r="29" spans="1:12" ht="28.5" customHeight="1">
      <c r="A29" s="64" t="s">
        <v>1190</v>
      </c>
      <c r="B29" s="585" t="str">
        <f>B21</f>
        <v>FABRICAÇÃO E INSTALAÇÃO DE TESOURA INTEIRA EM AÇO, VÃO DE 6 M A 10M , PARA TELHA ONDULADA DE FIBROCIMENTO, METÁLICA, PLÁSTICA OU TERMOACÚSTICA, INCLUSO IÇAMENTO. AF_12/2015 (SOMA DOS ITENS: 8.1 à 8.4).</v>
      </c>
      <c r="C29" s="585"/>
      <c r="D29" s="585"/>
      <c r="E29" s="585"/>
      <c r="F29" s="585"/>
      <c r="G29" s="316" t="s">
        <v>228</v>
      </c>
    </row>
    <row r="30" spans="1:12" ht="28.5" customHeight="1">
      <c r="A30" s="64" t="s">
        <v>1191</v>
      </c>
      <c r="B30" s="585" t="str">
        <f>B22</f>
        <v>TRAMA DE AÇO COMPOSTA POR TERÇAS PARA TELHADOS DE ATÉ 2 ÁGUAS PARA TELHA ONDULADA DE FIBROCIMENTO, METÁLICA, PLÁSTICA OU TERMOACÚSTICA, INCLUSO TRANSPORTE VERTICAL. AF_07/2019</v>
      </c>
      <c r="C30" s="585"/>
      <c r="D30" s="585"/>
      <c r="E30" s="585"/>
      <c r="F30" s="585"/>
      <c r="G30" s="316" t="s">
        <v>208</v>
      </c>
    </row>
    <row r="31" spans="1:12" ht="12.75" thickBot="1">
      <c r="A31" s="301" t="s">
        <v>1192</v>
      </c>
      <c r="B31" s="587" t="str">
        <f>B23</f>
        <v>TELHAMENTO COM TELHA METÁLICA TERMOACÚSTICA E = 30 MM, COM ATÉ 2 ÁGUAS, INCLUSO IÇAMENTO. AF_07/2019</v>
      </c>
      <c r="C31" s="587"/>
      <c r="D31" s="587"/>
      <c r="E31" s="587"/>
      <c r="F31" s="587"/>
      <c r="G31" s="317" t="s">
        <v>208</v>
      </c>
    </row>
    <row r="32" spans="1:12" ht="15.75" customHeight="1">
      <c r="A32" s="313"/>
      <c r="B32" s="314"/>
      <c r="C32" s="314"/>
      <c r="D32" s="314"/>
      <c r="E32" s="314"/>
      <c r="F32" s="314"/>
      <c r="G32" s="313"/>
    </row>
    <row r="33" spans="1:7" ht="52.5" customHeight="1">
      <c r="A33" s="586" t="s">
        <v>1189</v>
      </c>
      <c r="B33" s="586"/>
      <c r="C33" s="586"/>
      <c r="D33" s="586"/>
      <c r="E33" s="586"/>
      <c r="F33" s="586"/>
      <c r="G33" s="586"/>
    </row>
  </sheetData>
  <mergeCells count="11">
    <mergeCell ref="A2:G2"/>
    <mergeCell ref="F7:G7"/>
    <mergeCell ref="F8:G8"/>
    <mergeCell ref="A17:G17"/>
    <mergeCell ref="A25:G25"/>
    <mergeCell ref="B27:F27"/>
    <mergeCell ref="B28:F28"/>
    <mergeCell ref="B29:F29"/>
    <mergeCell ref="A33:G33"/>
    <mergeCell ref="B30:F30"/>
    <mergeCell ref="B31:F31"/>
  </mergeCells>
  <printOptions horizontalCentered="1"/>
  <pageMargins left="0.51181102362204722" right="0.51181102362204722" top="0.98425196850393704" bottom="0.78740157480314965" header="0.31496062992125984" footer="0.31496062992125984"/>
  <pageSetup paperSize="9" scale="75" orientation="portrait" verticalDpi="360" r:id="rId1"/>
  <headerFooter>
    <oddHeader>&amp;L&amp;G&amp;R&amp;G</oddHeader>
    <oddFooter>&amp;RPágina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11</vt:i4>
      </vt:variant>
    </vt:vector>
  </HeadingPairs>
  <TitlesOfParts>
    <vt:vector size="19" baseType="lpstr">
      <vt:lpstr>ANEXO-1_CÁLCULOS - PVC</vt:lpstr>
      <vt:lpstr>ANEXO-2_BDI-DESONERADO-N</vt:lpstr>
      <vt:lpstr>ANEXO-3_COMPOSIÇÕES</vt:lpstr>
      <vt:lpstr>ANEXO-4_PESQ. PREÇOS (PVC)</vt:lpstr>
      <vt:lpstr>ANEXO-5_ORÇAMENTO</vt:lpstr>
      <vt:lpstr>ANEXO-6_CRONOGRAMA</vt:lpstr>
      <vt:lpstr>ANEXO-7_ENC. SOCIAIS</vt:lpstr>
      <vt:lpstr>ANEXO-8_ITENS DE RELEVÂNCIA</vt:lpstr>
      <vt:lpstr>'ANEXO-1_CÁLCULOS - PVC'!Area_de_impressao</vt:lpstr>
      <vt:lpstr>'ANEXO-2_BDI-DESONERADO-N'!Area_de_impressao</vt:lpstr>
      <vt:lpstr>'ANEXO-3_COMPOSIÇÕES'!Area_de_impressao</vt:lpstr>
      <vt:lpstr>'ANEXO-4_PESQ. PREÇOS (PVC)'!Area_de_impressao</vt:lpstr>
      <vt:lpstr>'ANEXO-5_ORÇAMENTO'!Area_de_impressao</vt:lpstr>
      <vt:lpstr>'ANEXO-6_CRONOGRAMA'!Area_de_impressao</vt:lpstr>
      <vt:lpstr>'ANEXO-7_ENC. SOCIAIS'!Area_de_impressao</vt:lpstr>
      <vt:lpstr>'ANEXO-8_ITENS DE RELEVÂNCIA'!Area_de_impressao</vt:lpstr>
      <vt:lpstr>'ANEXO-1_CÁLCULOS - PVC'!Titulos_de_impressao</vt:lpstr>
      <vt:lpstr>'ANEXO-5_ORÇAMENTO'!Titulos_de_impressao</vt:lpstr>
      <vt:lpstr>'ANEXO-6_CRONOGRAMA'!Titulos_de_impressao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teste</cp:lastModifiedBy>
  <cp:lastPrinted>2022-10-11T14:17:30Z</cp:lastPrinted>
  <dcterms:created xsi:type="dcterms:W3CDTF">2014-11-21T13:01:40Z</dcterms:created>
  <dcterms:modified xsi:type="dcterms:W3CDTF">2022-10-17T23:13:51Z</dcterms:modified>
</cp:coreProperties>
</file>